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620" firstSheet="3" activeTab="8"/>
  </bookViews>
  <sheets>
    <sheet name="bevétel 1.m. " sheetId="98" r:id="rId1"/>
    <sheet name="Bevétel Önkormányzat 1.1 " sheetId="99" r:id="rId2"/>
    <sheet name="Bev.étel Önk.köt.fel. 1.1)a" sheetId="145" r:id="rId3"/>
    <sheet name="Támogatás 1.2" sheetId="58" r:id="rId4"/>
    <sheet name="2. m.Többéves kih." sheetId="148" r:id="rId5"/>
    <sheet name="3.m. Mérleg " sheetId="102" r:id="rId6"/>
    <sheet name="4.m. Előirányzat felh." sheetId="77" r:id="rId7"/>
    <sheet name="5.m.mérleg 3 éves " sheetId="68" r:id="rId8"/>
    <sheet name="6.m. AKÜ fiz-i köt." sheetId="149" r:id="rId9"/>
  </sheets>
  <definedNames>
    <definedName name="_xlnm.Print_Titles" localSheetId="3">'Támogatás 1.2'!$1:$3</definedName>
    <definedName name="_xlnm.Print_Area" localSheetId="5">'3.m. Mérleg '!$A$1:$F$65</definedName>
    <definedName name="_xlnm.Print_Area" localSheetId="7">'5.m.mérleg 3 éves '!$A$1:$I$35</definedName>
    <definedName name="_xlnm.Print_Area" localSheetId="0">'bevétel 1.m. '!$A$1:$I$45</definedName>
    <definedName name="_xlnm.Print_Area" localSheetId="3">'Támogatás 1.2'!$A$1:$H$25</definedName>
  </definedNames>
  <calcPr calcId="145621"/>
</workbook>
</file>

<file path=xl/calcChain.xml><?xml version="1.0" encoding="utf-8"?>
<calcChain xmlns="http://schemas.openxmlformats.org/spreadsheetml/2006/main">
  <c r="H9" i="68" l="1"/>
  <c r="H28" i="68"/>
  <c r="B9" i="77"/>
  <c r="B16" i="77"/>
  <c r="F7" i="102"/>
  <c r="F10" i="102"/>
  <c r="F37" i="102"/>
  <c r="B11" i="145"/>
  <c r="I24" i="145"/>
  <c r="I26" i="99"/>
  <c r="B11" i="99"/>
  <c r="C38" i="98"/>
  <c r="I20" i="148"/>
  <c r="G18" i="149" l="1"/>
  <c r="E27" i="149"/>
  <c r="H24" i="68" l="1"/>
  <c r="F30" i="102"/>
  <c r="C40" i="98" l="1"/>
  <c r="D17" i="68" l="1"/>
  <c r="H14" i="68"/>
  <c r="H17" i="68" s="1"/>
  <c r="I40" i="98" s="1"/>
  <c r="H10" i="68"/>
  <c r="H12" i="68"/>
  <c r="H27" i="68"/>
  <c r="F7" i="148" l="1"/>
  <c r="I19" i="148" l="1"/>
  <c r="I21" i="148"/>
  <c r="I18" i="148"/>
  <c r="D18" i="148"/>
  <c r="G17" i="149"/>
  <c r="G16" i="149"/>
  <c r="G14" i="68" l="1"/>
  <c r="G17" i="68" l="1"/>
  <c r="G30" i="68"/>
  <c r="F23" i="102" l="1"/>
  <c r="F20" i="102" s="1"/>
  <c r="E23" i="102"/>
  <c r="E20" i="102" s="1"/>
  <c r="E36" i="102"/>
  <c r="G32" i="68"/>
  <c r="B23" i="98" l="1"/>
  <c r="C23" i="98"/>
  <c r="F22" i="148" l="1"/>
  <c r="E61" i="148"/>
  <c r="I61" i="148" s="1"/>
  <c r="E58" i="148"/>
  <c r="E62" i="148"/>
  <c r="I34" i="148"/>
  <c r="I29" i="148"/>
  <c r="I25" i="148"/>
  <c r="I27" i="148" l="1"/>
  <c r="I23" i="148"/>
  <c r="I35" i="148"/>
  <c r="I58" i="148"/>
  <c r="I59" i="148"/>
  <c r="I60" i="148"/>
  <c r="I62" i="148"/>
  <c r="I37" i="148"/>
  <c r="D49" i="148"/>
  <c r="D48" i="148"/>
  <c r="D47" i="148"/>
  <c r="D46" i="148"/>
  <c r="D43" i="148"/>
  <c r="D42" i="148"/>
  <c r="H7" i="148"/>
  <c r="G22" i="148"/>
  <c r="H22" i="148"/>
  <c r="I17" i="148"/>
  <c r="E7" i="148"/>
  <c r="D16" i="148"/>
  <c r="D15" i="148"/>
  <c r="D14" i="148"/>
  <c r="D13" i="148"/>
  <c r="D12" i="148"/>
  <c r="D11" i="148"/>
  <c r="D10" i="148"/>
  <c r="D9" i="148"/>
  <c r="D8" i="148"/>
  <c r="E53" i="102"/>
  <c r="F53" i="102"/>
  <c r="D59" i="102"/>
  <c r="D53" i="102"/>
  <c r="H30" i="68"/>
  <c r="H32" i="68" l="1"/>
  <c r="D7" i="148"/>
  <c r="F22" i="68"/>
  <c r="E29" i="149" l="1"/>
  <c r="O27" i="149"/>
  <c r="O29" i="149" s="1"/>
  <c r="N27" i="149"/>
  <c r="N29" i="149" s="1"/>
  <c r="M27" i="149"/>
  <c r="M29" i="149" s="1"/>
  <c r="L27" i="149"/>
  <c r="L29" i="149" s="1"/>
  <c r="K27" i="149"/>
  <c r="K29" i="149" s="1"/>
  <c r="J27" i="149"/>
  <c r="J29" i="149" s="1"/>
  <c r="I27" i="149"/>
  <c r="I29" i="149" s="1"/>
  <c r="H27" i="149"/>
  <c r="H29" i="149" s="1"/>
  <c r="G27" i="149"/>
  <c r="G29" i="149" s="1"/>
  <c r="F27" i="149"/>
  <c r="F29" i="149" s="1"/>
  <c r="F20" i="149"/>
  <c r="E20" i="149"/>
  <c r="D20" i="149"/>
  <c r="C20" i="149"/>
  <c r="G15" i="149"/>
  <c r="G14" i="149"/>
  <c r="G13" i="149"/>
  <c r="G12" i="149"/>
  <c r="G11" i="149"/>
  <c r="G10" i="149"/>
  <c r="G9" i="149"/>
  <c r="G8" i="149"/>
  <c r="G7" i="149"/>
  <c r="G6" i="149"/>
  <c r="G20" i="149" l="1"/>
  <c r="K10" i="77"/>
  <c r="K16" i="77"/>
  <c r="N12" i="77"/>
  <c r="C11" i="77"/>
  <c r="N9" i="77"/>
  <c r="K28" i="77"/>
  <c r="D28" i="77"/>
  <c r="H28" i="77" s="1"/>
  <c r="G28" i="77"/>
  <c r="F28" i="77"/>
  <c r="I28" i="77"/>
  <c r="K32" i="77"/>
  <c r="E32" i="77"/>
  <c r="E29" i="77"/>
  <c r="I26" i="77"/>
  <c r="N26" i="77" s="1"/>
  <c r="G26" i="77"/>
  <c r="N25" i="77"/>
  <c r="N23" i="77"/>
  <c r="N24" i="77"/>
  <c r="N22" i="77"/>
  <c r="B33" i="77"/>
  <c r="I25" i="145" l="1"/>
  <c r="H25" i="145"/>
  <c r="G25" i="145"/>
  <c r="F25" i="145"/>
  <c r="E25" i="145"/>
  <c r="D25" i="145"/>
  <c r="C25" i="145"/>
  <c r="B25" i="145"/>
  <c r="J24" i="145"/>
  <c r="J23" i="145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J10" i="145"/>
  <c r="J9" i="145"/>
  <c r="J8" i="145"/>
  <c r="J25" i="145" l="1"/>
  <c r="H18" i="58"/>
  <c r="H17" i="58"/>
  <c r="J24" i="99" l="1"/>
  <c r="C27" i="99"/>
  <c r="J12" i="99" l="1"/>
  <c r="E22" i="148" l="1"/>
  <c r="I36" i="148" l="1"/>
  <c r="I33" i="148"/>
  <c r="I32" i="148"/>
  <c r="D22" i="148"/>
  <c r="I24" i="148"/>
  <c r="I26" i="148"/>
  <c r="I28" i="148"/>
  <c r="I30" i="148"/>
  <c r="I31" i="148"/>
  <c r="I39" i="148"/>
  <c r="I22" i="148" l="1"/>
  <c r="I16" i="148"/>
  <c r="I63" i="148" l="1"/>
  <c r="I57" i="148"/>
  <c r="I56" i="148"/>
  <c r="I55" i="148"/>
  <c r="I54" i="148"/>
  <c r="I53" i="148"/>
  <c r="I52" i="148"/>
  <c r="I51" i="148"/>
  <c r="I50" i="148"/>
  <c r="I49" i="148"/>
  <c r="I48" i="148"/>
  <c r="I47" i="148"/>
  <c r="I46" i="148"/>
  <c r="I45" i="148"/>
  <c r="I44" i="148"/>
  <c r="I43" i="148"/>
  <c r="I42" i="148"/>
  <c r="I40" i="148"/>
  <c r="H38" i="148"/>
  <c r="G38" i="148"/>
  <c r="F38" i="148"/>
  <c r="E38" i="148"/>
  <c r="I15" i="148"/>
  <c r="I14" i="148"/>
  <c r="I13" i="148"/>
  <c r="I12" i="148"/>
  <c r="I11" i="148"/>
  <c r="I10" i="148"/>
  <c r="I9" i="148"/>
  <c r="G7" i="148"/>
  <c r="E64" i="148" l="1"/>
  <c r="H64" i="148"/>
  <c r="G64" i="148"/>
  <c r="H7" i="58" l="1"/>
  <c r="J19" i="99" l="1"/>
  <c r="J20" i="99"/>
  <c r="J16" i="99"/>
  <c r="F30" i="68" l="1"/>
  <c r="D23" i="102" l="1"/>
  <c r="C37" i="98" l="1"/>
  <c r="D40" i="98"/>
  <c r="E40" i="98"/>
  <c r="G40" i="98" l="1"/>
  <c r="I15" i="98" l="1"/>
  <c r="F36" i="102"/>
  <c r="C36" i="98"/>
  <c r="C35" i="98" s="1"/>
  <c r="C8" i="98"/>
  <c r="C7" i="98" s="1"/>
  <c r="B8" i="98"/>
  <c r="B7" i="98" s="1"/>
  <c r="I44" i="98" l="1"/>
  <c r="G37" i="98"/>
  <c r="G36" i="98" s="1"/>
  <c r="E37" i="98"/>
  <c r="E36" i="98" s="1"/>
  <c r="H21" i="98"/>
  <c r="E59" i="102"/>
  <c r="G35" i="98" l="1"/>
  <c r="D36" i="102"/>
  <c r="D20" i="102"/>
  <c r="D16" i="102"/>
  <c r="D6" i="102"/>
  <c r="D5" i="102" s="1"/>
  <c r="H14" i="98"/>
  <c r="B20" i="98"/>
  <c r="C20" i="98"/>
  <c r="B17" i="98"/>
  <c r="D30" i="68"/>
  <c r="F17" i="68"/>
  <c r="I45" i="98"/>
  <c r="E16" i="102"/>
  <c r="F16" i="102"/>
  <c r="E6" i="102"/>
  <c r="E5" i="102" s="1"/>
  <c r="E35" i="102" s="1"/>
  <c r="B37" i="98"/>
  <c r="B36" i="98" s="1"/>
  <c r="B35" i="98" s="1"/>
  <c r="C30" i="98"/>
  <c r="D30" i="98"/>
  <c r="E30" i="98"/>
  <c r="E28" i="98" s="1"/>
  <c r="F30" i="98"/>
  <c r="G30" i="98"/>
  <c r="G28" i="98" s="1"/>
  <c r="F6" i="102"/>
  <c r="F5" i="102" s="1"/>
  <c r="F35" i="102" s="1"/>
  <c r="J9" i="99"/>
  <c r="J10" i="99"/>
  <c r="J11" i="99"/>
  <c r="J13" i="99"/>
  <c r="J14" i="99"/>
  <c r="J15" i="99"/>
  <c r="J17" i="99"/>
  <c r="J18" i="99"/>
  <c r="J21" i="99"/>
  <c r="J22" i="99"/>
  <c r="J23" i="99"/>
  <c r="J25" i="99"/>
  <c r="J26" i="99"/>
  <c r="J8" i="99"/>
  <c r="D27" i="99"/>
  <c r="E27" i="99"/>
  <c r="F27" i="99"/>
  <c r="G27" i="99"/>
  <c r="H27" i="99"/>
  <c r="I27" i="99"/>
  <c r="B27" i="99"/>
  <c r="E32" i="102"/>
  <c r="F32" i="102"/>
  <c r="I32" i="98"/>
  <c r="C17" i="98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B17" i="77"/>
  <c r="O15" i="77"/>
  <c r="O14" i="77"/>
  <c r="O13" i="77"/>
  <c r="O12" i="77"/>
  <c r="O11" i="77"/>
  <c r="O10" i="77"/>
  <c r="O8" i="77"/>
  <c r="C30" i="68"/>
  <c r="B30" i="68"/>
  <c r="C17" i="68"/>
  <c r="B17" i="68"/>
  <c r="F46" i="102"/>
  <c r="E46" i="102"/>
  <c r="E63" i="102" s="1"/>
  <c r="D46" i="102"/>
  <c r="D63" i="102" s="1"/>
  <c r="H45" i="98"/>
  <c r="H44" i="98"/>
  <c r="I43" i="98"/>
  <c r="H43" i="98"/>
  <c r="I42" i="98"/>
  <c r="H42" i="98"/>
  <c r="I41" i="98"/>
  <c r="H41" i="98"/>
  <c r="I39" i="98"/>
  <c r="H39" i="98"/>
  <c r="I38" i="98"/>
  <c r="H38" i="98"/>
  <c r="F37" i="98"/>
  <c r="F36" i="98" s="1"/>
  <c r="D37" i="98"/>
  <c r="D36" i="98" s="1"/>
  <c r="H32" i="98"/>
  <c r="I31" i="98"/>
  <c r="H31" i="98"/>
  <c r="I29" i="98"/>
  <c r="H29" i="98"/>
  <c r="I27" i="98"/>
  <c r="H27" i="98"/>
  <c r="I26" i="98"/>
  <c r="H26" i="98"/>
  <c r="I25" i="98"/>
  <c r="H25" i="98"/>
  <c r="I24" i="98"/>
  <c r="H24" i="98"/>
  <c r="G23" i="98"/>
  <c r="G20" i="98" s="1"/>
  <c r="F20" i="98"/>
  <c r="E23" i="98"/>
  <c r="E20" i="98" s="1"/>
  <c r="D23" i="98"/>
  <c r="D20" i="98" s="1"/>
  <c r="I22" i="98"/>
  <c r="H22" i="98"/>
  <c r="I19" i="98"/>
  <c r="H19" i="98"/>
  <c r="I18" i="98"/>
  <c r="H18" i="98"/>
  <c r="G17" i="98"/>
  <c r="F17" i="98"/>
  <c r="E17" i="98"/>
  <c r="I17" i="98" s="1"/>
  <c r="D17" i="98"/>
  <c r="I16" i="98"/>
  <c r="H16" i="98"/>
  <c r="I14" i="98"/>
  <c r="I13" i="98"/>
  <c r="H13" i="98"/>
  <c r="I12" i="98"/>
  <c r="H12" i="98"/>
  <c r="I11" i="98"/>
  <c r="H11" i="98"/>
  <c r="I10" i="98"/>
  <c r="H10" i="98"/>
  <c r="I9" i="98"/>
  <c r="H9" i="98"/>
  <c r="G8" i="98"/>
  <c r="G7" i="98" s="1"/>
  <c r="F8" i="98"/>
  <c r="F7" i="98" s="1"/>
  <c r="E8" i="98"/>
  <c r="E7" i="98" s="1"/>
  <c r="D8" i="98"/>
  <c r="D7" i="98" s="1"/>
  <c r="E35" i="98"/>
  <c r="H28" i="98"/>
  <c r="H15" i="58"/>
  <c r="H5" i="58" s="1"/>
  <c r="H4" i="58" s="1"/>
  <c r="I37" i="98"/>
  <c r="E33" i="77"/>
  <c r="N17" i="77"/>
  <c r="O9" i="77"/>
  <c r="F33" i="77"/>
  <c r="G33" i="77"/>
  <c r="H33" i="77"/>
  <c r="I33" i="77"/>
  <c r="J33" i="77"/>
  <c r="K33" i="77"/>
  <c r="L33" i="77"/>
  <c r="M33" i="77"/>
  <c r="O22" i="77"/>
  <c r="H40" i="98"/>
  <c r="H30" i="98" l="1"/>
  <c r="B33" i="98"/>
  <c r="J27" i="99"/>
  <c r="F65" i="102"/>
  <c r="I36" i="98"/>
  <c r="I35" i="98" s="1"/>
  <c r="C32" i="68"/>
  <c r="B32" i="68"/>
  <c r="I23" i="98"/>
  <c r="I8" i="98"/>
  <c r="H23" i="98"/>
  <c r="E33" i="98"/>
  <c r="H37" i="98"/>
  <c r="D35" i="98"/>
  <c r="H8" i="98"/>
  <c r="I30" i="98"/>
  <c r="H36" i="98"/>
  <c r="H35" i="98" s="1"/>
  <c r="D32" i="68"/>
  <c r="F32" i="68"/>
  <c r="D35" i="102"/>
  <c r="I28" i="98"/>
  <c r="F33" i="98"/>
  <c r="H17" i="98"/>
  <c r="H20" i="98"/>
  <c r="H7" i="98"/>
  <c r="D33" i="98"/>
  <c r="G33" i="98"/>
  <c r="I7" i="98"/>
  <c r="I20" i="98"/>
  <c r="C33" i="98"/>
  <c r="F35" i="98" l="1"/>
  <c r="H33" i="98"/>
  <c r="I33" i="98"/>
  <c r="O23" i="77"/>
  <c r="O33" i="77" s="1"/>
  <c r="N33" i="77"/>
  <c r="I8" i="148"/>
  <c r="I7" i="148" s="1"/>
  <c r="F64" i="148"/>
  <c r="C17" i="77"/>
  <c r="O16" i="77"/>
  <c r="O17" i="77" s="1"/>
  <c r="F59" i="102"/>
  <c r="F63" i="102" l="1"/>
  <c r="F64" i="102" s="1"/>
  <c r="D38" i="148"/>
  <c r="D64" i="148" s="1"/>
  <c r="I41" i="148"/>
  <c r="I38" i="148" s="1"/>
  <c r="I64" i="148" s="1"/>
</calcChain>
</file>

<file path=xl/sharedStrings.xml><?xml version="1.0" encoding="utf-8"?>
<sst xmlns="http://schemas.openxmlformats.org/spreadsheetml/2006/main" count="647" uniqueCount="414">
  <si>
    <t>Megnevezés</t>
  </si>
  <si>
    <t>Működési bevételek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</si>
  <si>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</si>
  <si>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</si>
  <si>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</si>
  <si>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</si>
  <si>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</si>
  <si>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</si>
  <si>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</si>
  <si>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</si>
  <si>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</si>
  <si>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</si>
  <si>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adatok ezer forintban</t>
  </si>
  <si>
    <t>8.</t>
  </si>
  <si>
    <t>Összesen:</t>
  </si>
  <si>
    <t>21.</t>
  </si>
  <si>
    <t>13.</t>
  </si>
  <si>
    <t>mutató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</si>
  <si>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</si>
  <si>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</si>
  <si>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</si>
  <si>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</si>
  <si>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</si>
  <si>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</si>
  <si>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</si>
  <si>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Összesen</t>
  </si>
  <si>
    <t>12.</t>
  </si>
  <si>
    <t>hozzájárulás</t>
  </si>
  <si>
    <t>összege Ft</t>
  </si>
  <si>
    <t>Támogatási jogcím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</si>
  <si>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</si>
  <si>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</si>
  <si>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</si>
  <si>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</si>
  <si>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</si>
  <si>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</si>
  <si>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</si>
  <si>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</si>
  <si>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</si>
  <si>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</si>
  <si>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</si>
  <si>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</si>
  <si>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</si>
  <si>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</si>
  <si>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</si>
  <si>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</si>
  <si>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</si>
  <si>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</si>
  <si>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</si>
  <si>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</si>
  <si>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3.1.</t>
  </si>
  <si>
    <t>3.2.</t>
  </si>
  <si>
    <t>K I A D Á S O K</t>
  </si>
  <si>
    <t>Sor-szám</t>
  </si>
  <si>
    <t>Kiadási jogcímek</t>
  </si>
  <si>
    <t>1.1.</t>
  </si>
  <si>
    <t>2.1.</t>
  </si>
  <si>
    <t>2.2.</t>
  </si>
  <si>
    <t>2.3.</t>
  </si>
  <si>
    <t>2.4.</t>
  </si>
  <si>
    <t>Kötelezettség jogcíme</t>
  </si>
  <si>
    <t>Köt. váll.
 éve</t>
  </si>
  <si>
    <t>Kiadás vonzata évenként</t>
  </si>
  <si>
    <t>Működési célú hiteltörlesztés (tőke+kamat)</t>
  </si>
  <si>
    <t>Felhalmozási célú hiteltörlesztés (tőke+kamat)</t>
  </si>
  <si>
    <t>Beruházás feladatonként</t>
  </si>
  <si>
    <t>14.</t>
  </si>
  <si>
    <t>16.</t>
  </si>
  <si>
    <t>17.</t>
  </si>
  <si>
    <t>15.</t>
  </si>
  <si>
    <t>Egyéb</t>
  </si>
  <si>
    <t>18.</t>
  </si>
  <si>
    <t>19.</t>
  </si>
  <si>
    <t>20.</t>
  </si>
  <si>
    <t>22.</t>
  </si>
  <si>
    <t>23.</t>
  </si>
  <si>
    <t>24.</t>
  </si>
  <si>
    <t>2011.</t>
  </si>
  <si>
    <t>2012.</t>
  </si>
  <si>
    <t>2014.</t>
  </si>
  <si>
    <t>25.</t>
  </si>
  <si>
    <t>26.</t>
  </si>
  <si>
    <t>27.</t>
  </si>
  <si>
    <t>Ezer forintban !</t>
  </si>
  <si>
    <t>Évek</t>
  </si>
  <si>
    <t>ÖSSZES KÖTELEZETTSÉG</t>
  </si>
  <si>
    <t>Fejlesztési cél leírása</t>
  </si>
  <si>
    <t>Egyek Nagyközség Önkormányzat adósságot keletkeztető ügyletekből és kezességvállalásokból fennálló kötelezettségei</t>
  </si>
  <si>
    <t>Adósságot keletkeztető ügyletek várható együttes összege:</t>
  </si>
  <si>
    <t>Hitel megnevezése</t>
  </si>
  <si>
    <t xml:space="preserve">I. Helyi Önkormányzatok általános működési támogatása összesen: </t>
  </si>
  <si>
    <t>I. 1.a) Önkormányzati Hivatal működésének támogatása</t>
  </si>
  <si>
    <t>I.1 b. Települési üzemeltetés támogatása</t>
  </si>
  <si>
    <t xml:space="preserve"> - Zöldterület-gazdálkodással kapcsolatos feladatok ell.tám.</t>
  </si>
  <si>
    <t xml:space="preserve">                   - Közvilágítás fenntartásának támogatása</t>
  </si>
  <si>
    <t xml:space="preserve">                   - Köztemető fenntartásával kapcsolatos feladatok támogatása</t>
  </si>
  <si>
    <t xml:space="preserve">                   - Közutak fenntartásának támogatása</t>
  </si>
  <si>
    <t>I.1.d.) Egyéb kötelező önkormányzati feladatok támogatása</t>
  </si>
  <si>
    <t>III.2. Hozzájárulás pénzbeli szociális ellátásokhoz</t>
  </si>
  <si>
    <t>III.3.e). Falugondnoki vagy tanyagondnoki szolgáltatás</t>
  </si>
  <si>
    <t>Önkormányzati támogatás összesen:</t>
  </si>
  <si>
    <t>Rövid lejáratú önkormányzati folyószámla hitel</t>
  </si>
  <si>
    <t>Könyvvizsgálati díj</t>
  </si>
  <si>
    <t>IV.1.d) Települési önkormányzatok támogatása nyilvános könyvtári ellátásokhoz és közművelődési feladatokhoz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</si>
  <si>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</si>
  <si>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</si>
  <si>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</si>
  <si>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</si>
  <si>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</si>
  <si>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</si>
  <si>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</si>
  <si>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</si>
  <si>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</si>
  <si>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</si>
  <si>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</si>
  <si>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</si>
  <si>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</si>
  <si>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</si>
  <si>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</si>
  <si>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</si>
  <si>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</si>
  <si>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</si>
  <si>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</si>
  <si>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</si>
  <si>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</si>
  <si>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</si>
  <si>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</si>
  <si>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</si>
  <si>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</si>
  <si>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</si>
  <si>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</si>
  <si>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</si>
  <si>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</si>
  <si>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</si>
  <si>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</si>
  <si>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</si>
  <si>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</si>
  <si>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</si>
  <si>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</si>
  <si>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</si>
  <si>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</si>
  <si>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</si>
  <si>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082063 Múzeumi, kiállítási tevékenység</t>
  </si>
  <si>
    <t>12 hó</t>
  </si>
  <si>
    <t>3.mell. 17. Lakott külterületekkel kapcsolatos feladatok támogatása</t>
  </si>
  <si>
    <t>Költségvetési bevétel rovatrend</t>
  </si>
  <si>
    <t>K1. Személyi juttatások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</si>
  <si>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</si>
  <si>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</si>
  <si>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</si>
  <si>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</si>
  <si>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</si>
  <si>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K9. Finanszírozási kiadások (működési)</t>
  </si>
  <si>
    <t>K9. Finanszírozási kiadások (felhalmozási)</t>
  </si>
  <si>
    <t>K9. Finanszírozási kiadások</t>
  </si>
  <si>
    <t>072111 Háziorvosi alapellátás</t>
  </si>
  <si>
    <t>K2. Munkaadókat terhelő járulékok és szociális hozzájárulási adó</t>
  </si>
  <si>
    <t>K5. Egyéb működési célú kiadások (tartalék nélkül)</t>
  </si>
  <si>
    <t>K512. Tartalék</t>
  </si>
  <si>
    <t>K5. Egyéb működési célú kiadások</t>
  </si>
  <si>
    <t>ebből: tartalék (működési)</t>
  </si>
  <si>
    <t>2013.</t>
  </si>
  <si>
    <t>Sebészeti szakrendeléshez eszközbérlet</t>
  </si>
  <si>
    <t>Szemészeti szakrendeléshez eszközbérlet</t>
  </si>
  <si>
    <t>Általános jogi tanácsadás</t>
  </si>
  <si>
    <t>2.5.</t>
  </si>
  <si>
    <t>2.6.</t>
  </si>
  <si>
    <t>3.4.</t>
  </si>
  <si>
    <t>3.5.</t>
  </si>
  <si>
    <t>4.1.</t>
  </si>
  <si>
    <t>4.2.</t>
  </si>
  <si>
    <t>4.5.</t>
  </si>
  <si>
    <t>4.6.</t>
  </si>
  <si>
    <t>4.8.</t>
  </si>
  <si>
    <t>4.9.</t>
  </si>
  <si>
    <t>4.10.</t>
  </si>
  <si>
    <t>4.11.</t>
  </si>
  <si>
    <t>B3. Közhatalmi bevételek</t>
  </si>
  <si>
    <t>B8. Finanszírozási bevételek (működési)</t>
  </si>
  <si>
    <t>B8. Finanszírozási bevételek (felhalmozási)</t>
  </si>
  <si>
    <t>B21. Felhalmozási célú önkormányzati támogatások (központosított előirányzatok,  vis maior)</t>
  </si>
  <si>
    <t>4.12.</t>
  </si>
  <si>
    <t>K11. Foglalkoztatottak személyi juttatásai</t>
  </si>
  <si>
    <t>K12. Külső személyi juttatások</t>
  </si>
  <si>
    <t>4.13.</t>
  </si>
  <si>
    <t>Világító testek bérleti díja</t>
  </si>
  <si>
    <t>2006.</t>
  </si>
  <si>
    <t>4.14.</t>
  </si>
  <si>
    <t>4.15.</t>
  </si>
  <si>
    <t>Népességnyilvántartó rendszer</t>
  </si>
  <si>
    <t>4.16.</t>
  </si>
  <si>
    <t>Polgármesteri Hivatal internet szolgáltatás</t>
  </si>
  <si>
    <t>4.17.</t>
  </si>
  <si>
    <t>4.18.</t>
  </si>
  <si>
    <t>Tűzjelző rendszer karbantartási szolgáltatás</t>
  </si>
  <si>
    <t>Adó és számviteli tanácsadás tagdíj</t>
  </si>
  <si>
    <t>4.20.</t>
  </si>
  <si>
    <t>Önkormányzati fizetési meghagyások elektronikus rendszer éves díj</t>
  </si>
  <si>
    <t>4.21.</t>
  </si>
  <si>
    <t>4.22.</t>
  </si>
  <si>
    <t>4.23.</t>
  </si>
  <si>
    <t>Egészségházban kártevőírtás szolgáltatás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</si>
  <si>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</si>
  <si>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</si>
  <si>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</si>
  <si>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</si>
  <si>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</si>
  <si>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</si>
  <si>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</si>
  <si>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</si>
  <si>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</si>
  <si>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</si>
  <si>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</si>
  <si>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</si>
  <si>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</si>
  <si>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</si>
  <si>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</si>
  <si>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</si>
  <si>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</si>
  <si>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</si>
  <si>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</si>
  <si>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</si>
  <si>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</si>
  <si>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</si>
  <si>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B8113. Rövid lejáratú hitelek, kölcsönök felvétele</t>
  </si>
  <si>
    <t>B8192. Rövid lejáratú kölcsönök bevételei</t>
  </si>
  <si>
    <t>044320 Építőipar támogatása</t>
  </si>
  <si>
    <t>V.I.1.kiegészítés I.1. jogcímekhez kapcsolódó kiegészítés</t>
  </si>
  <si>
    <t>I.2. Nem közművel összegyűjtött háztartási szennyvíz ártalmatlanítása</t>
  </si>
  <si>
    <t>K915. Finanszírozási kiadások</t>
  </si>
  <si>
    <t>K9. Finanszírozási kiadások felhalmozási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</si>
  <si>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</si>
  <si>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</si>
  <si>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</si>
  <si>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</si>
  <si>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</si>
  <si>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</si>
  <si>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</si>
  <si>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</si>
  <si>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</si>
  <si>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-</t>
  </si>
  <si>
    <t>Alacsony vételárú ingatlanok megvásárlása fejlesztési célú hitel</t>
  </si>
  <si>
    <t>Műfüves labdarugópálya pályázati tervdokumentáció elkészítésének finanszírozása feljesztési célú hitel</t>
  </si>
  <si>
    <t>Zúzott kő vásárlás fejlesztési célú hitel</t>
  </si>
  <si>
    <t>4.7.</t>
  </si>
  <si>
    <t>Egyek Nagyközség Önkormányzata ingatlanainak vagyonbiztosítási díja</t>
  </si>
  <si>
    <t>Közületi hulladékszállítási díj Polgármesteri Hivatalban esetén</t>
  </si>
  <si>
    <t>2017.</t>
  </si>
  <si>
    <t>2018.</t>
  </si>
  <si>
    <t>Betonelem előregyártó csarnok pályázathoz kapcsolódó építési, kivitelezési terv elkészítése, valamint a pályázathoz kapcsolódó árazott költségvetés, építési engedélyezési tervdokumentáció elkészítésének finanszírozása fejlesztési célú hitel</t>
  </si>
  <si>
    <t>Fejlesztés várható kiadása 2020. év</t>
  </si>
  <si>
    <t>Fejlesztés várható kiadása 2021. év</t>
  </si>
  <si>
    <t>Fejlesztés várható kiadása 2022. év</t>
  </si>
  <si>
    <t>Fejlesztés várható kiadása 2023. év</t>
  </si>
  <si>
    <t>Fejlesztés várható kiadása 2024. év</t>
  </si>
  <si>
    <t>Fejlesztés várható kiadása 2025. év</t>
  </si>
  <si>
    <t>Egyéb központi támogatás</t>
  </si>
  <si>
    <t>Pótlékok, bírságok egyéb közhatalmi bevételek</t>
  </si>
  <si>
    <t>B113. Települési önkormányzatok szociális feladatainak támogatása</t>
  </si>
  <si>
    <t>B814. Államháztartáson belüli megelőlegezések</t>
  </si>
  <si>
    <t>2019.</t>
  </si>
  <si>
    <t>Fejlesztés várható kiadása 2026. év</t>
  </si>
  <si>
    <t>Egyek horgászturizmushoz kapcsolódó pihenőpark és sétaút kialakítása önerő fedezete fejlesztési célú hitel</t>
  </si>
  <si>
    <t>Gyepmesteri telep építése Egyeken önerő finanszírozása fejlesztési célú hitel</t>
  </si>
  <si>
    <t>Önkormányzati tulajdonú ingatlan fűtéskorszerűsítése és Egészség Centrummá történő átalakítása fejlesztési célú hitel</t>
  </si>
  <si>
    <t>2015.</t>
  </si>
  <si>
    <t>2.11.</t>
  </si>
  <si>
    <t>"Egyek bel-és külterületi csapadékelvezető rendszer rekonstrukciója" fejlesztési célú hitel</t>
  </si>
  <si>
    <t>2.12.</t>
  </si>
  <si>
    <t>2.13.</t>
  </si>
  <si>
    <t>Önkormányzati tulajdonú ingatlanok fűtés korszerűsítése fejlesztési célú hitel</t>
  </si>
  <si>
    <t>3.6.</t>
  </si>
  <si>
    <t>Gyepmesteri telep állategészségügyi ellátás</t>
  </si>
  <si>
    <t>Távfelügyeleti szolgáltatás</t>
  </si>
  <si>
    <t>Egyek Nagyközség területén térfigyelő rendszer rendszer felügyeleti díj</t>
  </si>
  <si>
    <t>Gyepmesteri telep kártevőírtás szolgáltatás</t>
  </si>
  <si>
    <t>Távfelügyeleti szolgáltatás tűzjelző rendszerre</t>
  </si>
  <si>
    <t>B.14. Működési célú visszatérítendő támogatások, kölcsönök visszatérülése államháztartáson belülről</t>
  </si>
  <si>
    <t>Fajlagos összeg</t>
  </si>
  <si>
    <t>III.5.c A rászoruló gyermekek intézményen kívüli szünidei étkeztetésének támogatása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</si>
  <si>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</si>
  <si>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</si>
  <si>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</si>
  <si>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</si>
  <si>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Többéves kihatással járó döntésekből származó kötelezettségek célok szerint évenkénti bontásban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</si>
  <si>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</si>
  <si>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</si>
  <si>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</si>
  <si>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</si>
  <si>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</si>
  <si>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</si>
  <si>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K513. Tartalékok (felhalmozási)</t>
  </si>
  <si>
    <t xml:space="preserve">            maradvány igénybevétel</t>
  </si>
  <si>
    <t>ebből: maradvány igénybevétel</t>
  </si>
  <si>
    <t>B1. Működési támogatások államháztartáson belülről</t>
  </si>
  <si>
    <t>Államháztartáson belüli megelőlegezés</t>
  </si>
  <si>
    <t>2020.</t>
  </si>
  <si>
    <t>Fejlesztés várható kiadása 2027. év</t>
  </si>
  <si>
    <t>2020. évi előirányzat</t>
  </si>
  <si>
    <t>Egyek Nagyközség Önkormányzat és költségvetési szervei bevételei forrásonként, főbb jogcím-csoportonkénti részletezettségben</t>
  </si>
  <si>
    <t xml:space="preserve">adatok forintban </t>
  </si>
  <si>
    <t>B31. Jövedelemadók</t>
  </si>
  <si>
    <t>K5. Felhalmozási célú tartalék</t>
  </si>
  <si>
    <t xml:space="preserve"> Forintban </t>
  </si>
  <si>
    <t>Műfüves labdarugópálya kiépítése Egyeken</t>
  </si>
  <si>
    <t>2016.</t>
  </si>
  <si>
    <t>Adójellegű bevételek</t>
  </si>
  <si>
    <t>Műfüves labdarugópálya kialakítása Egyeken</t>
  </si>
  <si>
    <t>Viziközmű vagyon fejlesztés</t>
  </si>
  <si>
    <t>B31. Magánszemélyek jövedelemadói</t>
  </si>
  <si>
    <t>K513. Tartalékok</t>
  </si>
  <si>
    <t>K513. Tartalékok (működési)</t>
  </si>
  <si>
    <t>ebből: felhalmozási célú hitelfelvétel</t>
  </si>
  <si>
    <t xml:space="preserve"> ebből K914. Államháztartáson belüli megelőlegezések</t>
  </si>
  <si>
    <t>2021.</t>
  </si>
  <si>
    <t>Fejlesztés várható kiadása 2028. év</t>
  </si>
  <si>
    <t>Attila telepen fellelhető külterületi ingatlanok elbirtoklása, ügyvédi díj előleg</t>
  </si>
  <si>
    <t>3.7.</t>
  </si>
  <si>
    <t>B.15.Működési célú visszatérítendő támogatások, kölcsönök igénybevétele államháztartáson belülről</t>
  </si>
  <si>
    <t>Működési kiadások</t>
  </si>
  <si>
    <t>045120 Út- autópálya építés</t>
  </si>
  <si>
    <t>072210 Járóbeteg gygyító szakellátása</t>
  </si>
  <si>
    <t>Polgármesteri illetmény támogatása</t>
  </si>
  <si>
    <t>Településrendezési terv készítés</t>
  </si>
  <si>
    <t>2022.</t>
  </si>
  <si>
    <t xml:space="preserve">Tűz és munkavédelmi szolgáltatás </t>
  </si>
  <si>
    <t>Bölcsőde építés</t>
  </si>
  <si>
    <t>2.14.</t>
  </si>
  <si>
    <t>3.8.</t>
  </si>
  <si>
    <t>Szennyvízcsatorna I. ütem kiépítése, Szennyvíztisztító telep áthelyezése</t>
  </si>
  <si>
    <t>"Bölcsődei ellátás infrastrukturális fejlesztése Egyeken" c. projekt kötelező nyilvánossági és kommunikációs tevékenységének lebonyolítása</t>
  </si>
  <si>
    <t xml:space="preserve">"Települési környezetvédelmi infrastruktúra-fejlesztése" c. projekthez kapcsolódó építési munkák </t>
  </si>
  <si>
    <t>"Ipari parkok, ipaterületek fejlesztése" c. pályázathoz készítendő engedélyes és kiviteli terv</t>
  </si>
  <si>
    <t>"Helyi termékértékesítést szolgáló piac kialakítása Egyek Nagyközségben" c. projekt projektmenedzsment feladatainak ellátása</t>
  </si>
  <si>
    <t>3.9.</t>
  </si>
  <si>
    <t>3.10.</t>
  </si>
  <si>
    <t>3.11.</t>
  </si>
  <si>
    <t>"Ipari parkok, ipaterületek fejlesztése" c. projekt, kötelező tájékoztatás és nyilvánosság tevékenységének ellátása</t>
  </si>
  <si>
    <t>"Ipari parkok, ipaterületek fejlesztése" c. projekt,közbeszerzési eljárás teljes körű lebonyolítása</t>
  </si>
  <si>
    <t>"Ipari parkok, ipaterületek fejlesztése c. projekthez kapcsolódó építési munkák műszaki lebonyolításával, ezen belül a műszaki ellenőrzés feladatainak ellátása</t>
  </si>
  <si>
    <t>Bölcsődei ellátás infrastrukturális fejlesztése Egyeken c. projekthez kapcsolódó építési munkák műszaki lebonyolításával, ezen belül a műszaki ellenőrzési felatok ellátása</t>
  </si>
  <si>
    <t>2019. évi várható tény Egyek Nagyközség Önkormányzata</t>
  </si>
  <si>
    <t xml:space="preserve">2019. Várható tény                                                      
Egyeki Polgármesteri Hivatal </t>
  </si>
  <si>
    <t>2019. Várható tény
Tárkányi Béla Könyvt.és Műv.H.</t>
  </si>
  <si>
    <t>2019. Várható tény 
Összesen:</t>
  </si>
  <si>
    <t xml:space="preserve">2020. Előirányzat  Egyek Nagyközség Önkormányzata </t>
  </si>
  <si>
    <t xml:space="preserve">2020. Előirányzat 
Egyeki Polgármesteri Hivatal </t>
  </si>
  <si>
    <t>2020. Előirányzat 
Tárkányi Béla Könyvt. És Műv.H.</t>
  </si>
  <si>
    <t>2020. Előirányzat 
Összesen:</t>
  </si>
  <si>
    <t>2020. évi terv</t>
  </si>
  <si>
    <t>Egyek Nagyközség Önkormányzatának 2020. évre tervezett bevételei kötelező feladatonként</t>
  </si>
  <si>
    <t>Egyek Nagyközség Önkormányzatának 2020. évi bevételei</t>
  </si>
  <si>
    <t>018030 Tám-i célú finanszírozási műveletek</t>
  </si>
  <si>
    <t>086090 Egyéb szabadidős szolgáltatás</t>
  </si>
  <si>
    <t>III.3.a.(1) A finanszírozás szempontjából elismert szakmai dolgozók bértámogatása: felsőfokú végzettségű kisgyermeknevelők, szaktanácsadók</t>
  </si>
  <si>
    <t>III.3.a.(2) A finanszírozás szempontjából elismert szakmai dolgozók bértámogatása: bölcsődei dajkáék, középvokú végzettségű kisgyermeknevelők, szaktanácsadók</t>
  </si>
  <si>
    <t>III.3.b. Bölcsődei üzemeltetési támogatás</t>
  </si>
  <si>
    <t>III.5.aa) A finszírozás szempontjából elismert dolgozók bértámogatása</t>
  </si>
  <si>
    <t>III.5.ab) Gyermekétkeztetés üzemeltetési támogatása</t>
  </si>
  <si>
    <t>2020. ÉV</t>
  </si>
  <si>
    <t>Úszóműves csónak- és kisgéphajtó - kikötő építés</t>
  </si>
  <si>
    <t>107080 Esélyegyenlőség elősegítését célzó tevékenységek és programok</t>
  </si>
  <si>
    <t>Piac építés</t>
  </si>
  <si>
    <t>Úszóműves csónak- és kisgéphajó - kikötő építés</t>
  </si>
  <si>
    <t>Egyek Nagyközség Önkormányzat 2020. évi előirányzat-felhasználási ütemterve</t>
  </si>
  <si>
    <t>Egyek Nagyközség Önkormányzat 2020. évi adósságot keletkeztető fejlesztési céljai</t>
  </si>
  <si>
    <t>2020. évi várható felhalmozási hitelfizetési kötelezettség (kamatok nélkül) összege:</t>
  </si>
  <si>
    <t>2020. évi várható adósságot keletkeztető ügyletek egyttes összege:</t>
  </si>
  <si>
    <t>Összesen
(8=4+5+6+7)</t>
  </si>
  <si>
    <t>Bölcsődei ellátás infrastrukturális fejlesztése Egyeken c. pályázat önerő biztosítása</t>
  </si>
  <si>
    <t xml:space="preserve">" Egyek bel és külterületi csapadékelvezető rendszer rekonstrukciója"  pályázati támogatási előleg visszafizetése </t>
  </si>
  <si>
    <t>Külterületi utak fejlesztése projekt önerő fedezete</t>
  </si>
  <si>
    <t>Fejlesztés várható kiadása 2029. év</t>
  </si>
  <si>
    <t>2018. évi tényleges teljesítés</t>
  </si>
  <si>
    <t>2019. évi várható teljesítés</t>
  </si>
  <si>
    <t>2020. évi eredeti előirányzat</t>
  </si>
  <si>
    <t xml:space="preserve">                                              Egyek Nagyközség Önkormányzata működési és felhalmozási célú bevételeinek és kiadásainak 2018. évi tényleges, 2019. évi várható és 2020. évi eredeti előirányzata mérleg rendszerben</t>
  </si>
  <si>
    <t>2018. évi tény</t>
  </si>
  <si>
    <t>2019. évi várható teljesítés (Ft)</t>
  </si>
  <si>
    <t>2020. évi előirányzat (Ft)</t>
  </si>
  <si>
    <t>Egyek Nagyközség Önkormányzat pénzügyi mérlege: 2018-2020. év</t>
  </si>
  <si>
    <t>2020. Évi Költségvetési kiadások összesen</t>
  </si>
  <si>
    <t>2020. évi Költségvetési bevételek összesen</t>
  </si>
  <si>
    <t>2020. előtti kifizetés</t>
  </si>
  <si>
    <t>2023.</t>
  </si>
  <si>
    <t>2.15.</t>
  </si>
  <si>
    <t>Mezőgazdasági út építés</t>
  </si>
  <si>
    <t>3.12.</t>
  </si>
  <si>
    <t>Egészségház adatvédelmi tisztviselő szolgáltatás</t>
  </si>
  <si>
    <t>TÖOSZ tagsági díj</t>
  </si>
  <si>
    <t>Orvosi ügyelet</t>
  </si>
  <si>
    <t>Mezőgazdasági útépítés, kivitelezői szerződé szerint</t>
  </si>
  <si>
    <t xml:space="preserve">"Bölcsődei ellátás infrastrukturális fejlesztése Egyeken" c. projekt projektmenedzsment </t>
  </si>
  <si>
    <t>Szennyvízcsatorna I. ütem kiépítése, PR. És nyílvánosság biztosítása</t>
  </si>
  <si>
    <t>"Bölcsődei ellátás infrastrukturális fejlesztése Egyeken" c. projekt kivitelezés</t>
  </si>
  <si>
    <t>3.3</t>
  </si>
  <si>
    <t>3.13.</t>
  </si>
  <si>
    <t>3.14.</t>
  </si>
  <si>
    <t>3.15.</t>
  </si>
  <si>
    <t>Tárkányi Béla Könyvtár adatvédelmi tisztviselő szolgáltatás</t>
  </si>
  <si>
    <t>Egyeki Polgármesteri Hivatal adatvédelmi tisztviselő szolgáltatás</t>
  </si>
  <si>
    <t>4.24.</t>
  </si>
  <si>
    <t>4.25.</t>
  </si>
  <si>
    <t>4.26.</t>
  </si>
  <si>
    <t>4.27.</t>
  </si>
  <si>
    <t>4.28.</t>
  </si>
  <si>
    <t>B36. Egyéb közhatalmi bevételek (bírság, pótlék, mezőőri díj, talajterhelési díj)</t>
  </si>
  <si>
    <t>Piac építés önerő fedezete</t>
  </si>
  <si>
    <t>Úszóműves csónak- és kisgéphajtó - kikötő építés önerő fedezete</t>
  </si>
  <si>
    <t>2.16.</t>
  </si>
  <si>
    <t>2.17.</t>
  </si>
  <si>
    <t xml:space="preserve"> Adatok forintban</t>
  </si>
  <si>
    <t>TOP (Ipari park) pályázat megvalósításához szükséges területrendezés díja</t>
  </si>
  <si>
    <t>2.18.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</si>
</sst>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#,##0.0"/>
  </numFmts>
  <fonts count="7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sz val="10"/>
      <name val="Times New Roman"/>
      <family val="1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0"/>
      <name val="Times New Roman CE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sz val="12"/>
      <name val="Arial"/>
      <family val="2"/>
      <charset val="238"/>
    </font>
    <font>
      <b/>
      <sz val="9"/>
      <name val="Arial CE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name val="Arial"/>
      <family val="2"/>
    </font>
    <font>
      <b/>
      <i/>
      <sz val="11"/>
      <name val="Times New Roman"/>
      <family val="1"/>
      <charset val="238"/>
    </font>
    <font>
      <i/>
      <sz val="11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b/>
      <sz val="16"/>
      <name val="Times New Roman CE"/>
      <family val="1"/>
      <charset val="238"/>
    </font>
    <font>
      <b/>
      <i/>
      <sz val="14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sz val="12"/>
      <name val="Times New Roman CE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 CE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7" fillId="0" borderId="0"/>
    <xf numFmtId="0" fontId="22" fillId="0" borderId="0"/>
    <xf numFmtId="0" fontId="34" fillId="0" borderId="0"/>
    <xf numFmtId="43" fontId="1" fillId="0" borderId="0" applyFont="0" applyFill="0" applyBorder="0" applyAlignment="0" applyProtection="0"/>
  </cellStyleXfs>
  <cellXfs count="665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0" xfId="0" applyFont="1" applyFill="1" applyBorder="1"/>
    <xf numFmtId="3" fontId="3" fillId="0" borderId="0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4" fillId="0" borderId="2" xfId="0" applyFont="1" applyBorder="1"/>
    <xf numFmtId="0" fontId="4" fillId="0" borderId="3" xfId="0" applyFont="1" applyBorder="1"/>
    <xf numFmtId="3" fontId="4" fillId="0" borderId="3" xfId="0" applyNumberFormat="1" applyFont="1" applyBorder="1"/>
    <xf numFmtId="3" fontId="3" fillId="0" borderId="0" xfId="0" applyNumberFormat="1" applyFont="1" applyBorder="1" applyAlignment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8" xfId="0" applyFont="1" applyBorder="1"/>
    <xf numFmtId="0" fontId="17" fillId="0" borderId="0" xfId="0" applyFont="1" applyAlignment="1">
      <alignment horizontal="center"/>
    </xf>
    <xf numFmtId="0" fontId="15" fillId="0" borderId="0" xfId="0" applyFont="1"/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2" xfId="0" applyFont="1" applyBorder="1"/>
    <xf numFmtId="3" fontId="15" fillId="0" borderId="12" xfId="0" applyNumberFormat="1" applyFont="1" applyBorder="1"/>
    <xf numFmtId="0" fontId="14" fillId="0" borderId="0" xfId="0" applyFont="1"/>
    <xf numFmtId="3" fontId="15" fillId="0" borderId="0" xfId="0" applyNumberFormat="1" applyFont="1"/>
    <xf numFmtId="164" fontId="21" fillId="0" borderId="0" xfId="4" applyNumberFormat="1" applyFont="1" applyFill="1" applyBorder="1" applyAlignment="1" applyProtection="1">
      <alignment horizontal="centerContinuous" vertical="center"/>
    </xf>
    <xf numFmtId="0" fontId="25" fillId="0" borderId="12" xfId="0" applyFont="1" applyBorder="1"/>
    <xf numFmtId="3" fontId="16" fillId="0" borderId="12" xfId="0" applyNumberFormat="1" applyFont="1" applyBorder="1"/>
    <xf numFmtId="0" fontId="11" fillId="0" borderId="13" xfId="4" applyFont="1" applyFill="1" applyBorder="1" applyAlignment="1" applyProtection="1">
      <alignment horizontal="center" vertical="center" wrapText="1"/>
    </xf>
    <xf numFmtId="0" fontId="11" fillId="0" borderId="14" xfId="4" applyFont="1" applyFill="1" applyBorder="1" applyAlignment="1" applyProtection="1">
      <alignment horizontal="center" vertical="center" wrapText="1"/>
    </xf>
    <xf numFmtId="0" fontId="11" fillId="0" borderId="15" xfId="4" applyFont="1" applyFill="1" applyBorder="1" applyAlignment="1" applyProtection="1">
      <alignment horizontal="center" vertical="center" wrapText="1"/>
    </xf>
    <xf numFmtId="0" fontId="11" fillId="0" borderId="16" xfId="4" applyFont="1" applyFill="1" applyBorder="1" applyAlignment="1" applyProtection="1">
      <alignment horizontal="left" vertical="center" wrapText="1" indent="1"/>
    </xf>
    <xf numFmtId="0" fontId="9" fillId="0" borderId="12" xfId="4" applyFont="1" applyFill="1" applyBorder="1" applyAlignment="1" applyProtection="1">
      <alignment horizontal="left" vertical="center" wrapText="1" indent="1"/>
    </xf>
    <xf numFmtId="0" fontId="9" fillId="0" borderId="17" xfId="4" applyFont="1" applyFill="1" applyBorder="1" applyAlignment="1" applyProtection="1">
      <alignment horizontal="left" vertical="center" wrapText="1" indent="1"/>
    </xf>
    <xf numFmtId="0" fontId="9" fillId="0" borderId="12" xfId="4" applyFont="1" applyFill="1" applyBorder="1" applyAlignment="1" applyProtection="1">
      <alignment horizontal="left" vertical="center" wrapText="1" indent="2"/>
    </xf>
    <xf numFmtId="0" fontId="9" fillId="0" borderId="18" xfId="4" applyFont="1" applyFill="1" applyBorder="1" applyAlignment="1" applyProtection="1">
      <alignment horizontal="left" vertical="center" wrapText="1" indent="1"/>
    </xf>
    <xf numFmtId="0" fontId="11" fillId="0" borderId="9" xfId="4" applyFont="1" applyFill="1" applyBorder="1" applyAlignment="1" applyProtection="1">
      <alignment horizontal="left" vertical="center" wrapText="1" indent="1"/>
    </xf>
    <xf numFmtId="164" fontId="11" fillId="0" borderId="7" xfId="4" applyNumberFormat="1" applyFont="1" applyFill="1" applyBorder="1" applyAlignment="1" applyProtection="1">
      <alignment horizontal="centerContinuous" vertical="center"/>
    </xf>
    <xf numFmtId="0" fontId="11" fillId="0" borderId="19" xfId="4" applyFont="1" applyFill="1" applyBorder="1" applyAlignment="1" applyProtection="1">
      <alignment vertical="center" wrapText="1"/>
    </xf>
    <xf numFmtId="0" fontId="9" fillId="0" borderId="20" xfId="4" applyFont="1" applyFill="1" applyBorder="1" applyAlignment="1" applyProtection="1">
      <alignment horizontal="left" vertical="center" wrapText="1" indent="1"/>
    </xf>
    <xf numFmtId="0" fontId="11" fillId="0" borderId="14" xfId="4" applyFont="1" applyFill="1" applyBorder="1" applyAlignment="1" applyProtection="1">
      <alignment vertical="center" wrapText="1"/>
    </xf>
    <xf numFmtId="0" fontId="27" fillId="0" borderId="0" xfId="0" applyFont="1"/>
    <xf numFmtId="0" fontId="14" fillId="0" borderId="12" xfId="0" applyFont="1" applyFill="1" applyBorder="1"/>
    <xf numFmtId="3" fontId="15" fillId="0" borderId="12" xfId="0" applyNumberFormat="1" applyFont="1" applyFill="1" applyBorder="1"/>
    <xf numFmtId="0" fontId="0" fillId="0" borderId="0" xfId="0" applyFill="1"/>
    <xf numFmtId="0" fontId="2" fillId="0" borderId="0" xfId="0" applyFont="1"/>
    <xf numFmtId="166" fontId="11" fillId="0" borderId="15" xfId="1" applyNumberFormat="1" applyFont="1" applyFill="1" applyBorder="1" applyAlignment="1" applyProtection="1">
      <alignment vertical="center" wrapText="1"/>
    </xf>
    <xf numFmtId="166" fontId="11" fillId="0" borderId="26" xfId="1" applyNumberFormat="1" applyFont="1" applyFill="1" applyBorder="1" applyAlignment="1" applyProtection="1">
      <alignment vertical="center" wrapText="1"/>
    </xf>
    <xf numFmtId="166" fontId="11" fillId="0" borderId="27" xfId="1" applyNumberFormat="1" applyFont="1" applyFill="1" applyBorder="1" applyAlignment="1" applyProtection="1">
      <alignment vertical="center" wrapText="1"/>
    </xf>
    <xf numFmtId="166" fontId="9" fillId="0" borderId="28" xfId="1" applyNumberFormat="1" applyFont="1" applyFill="1" applyBorder="1" applyAlignment="1" applyProtection="1">
      <alignment vertical="center" wrapText="1"/>
    </xf>
    <xf numFmtId="166" fontId="9" fillId="0" borderId="29" xfId="1" applyNumberFormat="1" applyFont="1" applyFill="1" applyBorder="1" applyAlignment="1" applyProtection="1">
      <alignment vertical="center" wrapText="1"/>
    </xf>
    <xf numFmtId="0" fontId="31" fillId="0" borderId="0" xfId="0" applyFont="1"/>
    <xf numFmtId="0" fontId="33" fillId="0" borderId="0" xfId="0" applyFont="1"/>
    <xf numFmtId="0" fontId="11" fillId="0" borderId="26" xfId="4" applyFont="1" applyFill="1" applyBorder="1" applyAlignment="1" applyProtection="1">
      <alignment horizontal="left" vertical="center" wrapText="1" indent="1"/>
    </xf>
    <xf numFmtId="166" fontId="11" fillId="0" borderId="8" xfId="1" applyNumberFormat="1" applyFont="1" applyFill="1" applyBorder="1" applyAlignment="1" applyProtection="1">
      <alignment vertical="center" wrapText="1"/>
    </xf>
    <xf numFmtId="0" fontId="11" fillId="0" borderId="0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left" vertical="center"/>
    </xf>
    <xf numFmtId="49" fontId="9" fillId="0" borderId="0" xfId="4" applyNumberFormat="1" applyFont="1" applyFill="1" applyBorder="1" applyAlignment="1" applyProtection="1">
      <alignment horizontal="left" vertical="center"/>
    </xf>
    <xf numFmtId="0" fontId="14" fillId="0" borderId="12" xfId="0" applyFont="1" applyBorder="1" applyAlignment="1">
      <alignment wrapText="1"/>
    </xf>
    <xf numFmtId="166" fontId="3" fillId="0" borderId="0" xfId="1" applyNumberFormat="1" applyFont="1"/>
    <xf numFmtId="166" fontId="0" fillId="0" borderId="0" xfId="0" applyNumberFormat="1"/>
    <xf numFmtId="0" fontId="9" fillId="0" borderId="22" xfId="4" applyFont="1" applyFill="1" applyBorder="1" applyAlignment="1" applyProtection="1">
      <alignment horizontal="left" vertical="center" wrapText="1" indent="2"/>
    </xf>
    <xf numFmtId="166" fontId="9" fillId="0" borderId="31" xfId="1" applyNumberFormat="1" applyFont="1" applyFill="1" applyBorder="1" applyAlignment="1" applyProtection="1"/>
    <xf numFmtId="3" fontId="3" fillId="2" borderId="0" xfId="0" applyNumberFormat="1" applyFont="1" applyFill="1" applyBorder="1"/>
    <xf numFmtId="0" fontId="11" fillId="2" borderId="8" xfId="0" applyFont="1" applyFill="1" applyBorder="1" applyAlignment="1">
      <alignment horizontal="center"/>
    </xf>
    <xf numFmtId="3" fontId="4" fillId="2" borderId="0" xfId="0" applyNumberFormat="1" applyFont="1" applyFill="1" applyBorder="1"/>
    <xf numFmtId="3" fontId="0" fillId="2" borderId="0" xfId="0" applyNumberFormat="1" applyFill="1" applyBorder="1"/>
    <xf numFmtId="0" fontId="0" fillId="2" borderId="0" xfId="0" applyFill="1"/>
    <xf numFmtId="0" fontId="0" fillId="0" borderId="0" xfId="0" applyAlignment="1">
      <alignment horizontal="center"/>
    </xf>
    <xf numFmtId="166" fontId="27" fillId="0" borderId="0" xfId="1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3" fontId="20" fillId="2" borderId="8" xfId="0" applyNumberFormat="1" applyFont="1" applyFill="1" applyBorder="1"/>
    <xf numFmtId="3" fontId="0" fillId="2" borderId="0" xfId="0" applyNumberFormat="1" applyFill="1"/>
    <xf numFmtId="0" fontId="29" fillId="2" borderId="0" xfId="0" applyFont="1" applyFill="1"/>
    <xf numFmtId="3" fontId="29" fillId="2" borderId="0" xfId="0" applyNumberFormat="1" applyFont="1" applyFill="1"/>
    <xf numFmtId="3" fontId="3" fillId="2" borderId="0" xfId="0" applyNumberFormat="1" applyFont="1" applyFill="1"/>
    <xf numFmtId="0" fontId="3" fillId="2" borderId="0" xfId="0" applyFont="1" applyFill="1"/>
    <xf numFmtId="0" fontId="38" fillId="0" borderId="0" xfId="4" applyFont="1" applyFill="1"/>
    <xf numFmtId="164" fontId="24" fillId="0" borderId="0" xfId="4" applyNumberFormat="1" applyFont="1" applyFill="1" applyBorder="1" applyAlignment="1" applyProtection="1">
      <alignment horizontal="centerContinuous" vertical="center"/>
    </xf>
    <xf numFmtId="0" fontId="39" fillId="0" borderId="0" xfId="3" applyFont="1" applyFill="1" applyBorder="1" applyAlignment="1" applyProtection="1"/>
    <xf numFmtId="0" fontId="41" fillId="0" borderId="20" xfId="4" applyFont="1" applyFill="1" applyBorder="1" applyAlignment="1">
      <alignment horizontal="center" vertical="center" wrapText="1"/>
    </xf>
    <xf numFmtId="0" fontId="42" fillId="0" borderId="0" xfId="3" applyFont="1" applyFill="1" applyBorder="1" applyAlignment="1" applyProtection="1">
      <alignment horizontal="right"/>
    </xf>
    <xf numFmtId="3" fontId="9" fillId="0" borderId="12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3" fillId="0" borderId="0" xfId="0" applyNumberFormat="1" applyFont="1" applyFill="1" applyBorder="1"/>
    <xf numFmtId="166" fontId="1" fillId="0" borderId="0" xfId="1" applyNumberFormat="1" applyFont="1"/>
    <xf numFmtId="0" fontId="5" fillId="2" borderId="7" xfId="0" applyFont="1" applyFill="1" applyBorder="1" applyAlignment="1">
      <alignment horizontal="center"/>
    </xf>
    <xf numFmtId="166" fontId="45" fillId="0" borderId="0" xfId="1" applyNumberFormat="1" applyFont="1"/>
    <xf numFmtId="0" fontId="45" fillId="0" borderId="0" xfId="0" applyFont="1"/>
    <xf numFmtId="3" fontId="14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/>
    <xf numFmtId="166" fontId="12" fillId="0" borderId="8" xfId="1" applyNumberFormat="1" applyFont="1" applyFill="1" applyBorder="1" applyAlignment="1" applyProtection="1">
      <alignment vertical="center" wrapText="1"/>
    </xf>
    <xf numFmtId="0" fontId="9" fillId="0" borderId="9" xfId="4" applyFont="1" applyFill="1" applyBorder="1" applyAlignment="1" applyProtection="1">
      <alignment horizontal="left" vertical="center" wrapText="1"/>
    </xf>
    <xf numFmtId="166" fontId="9" fillId="0" borderId="26" xfId="1" applyNumberFormat="1" applyFont="1" applyFill="1" applyBorder="1" applyAlignment="1" applyProtection="1">
      <alignment vertical="center" wrapText="1"/>
    </xf>
    <xf numFmtId="0" fontId="11" fillId="0" borderId="26" xfId="4" applyFont="1" applyFill="1" applyBorder="1" applyAlignment="1" applyProtection="1">
      <alignment vertical="center" wrapText="1"/>
    </xf>
    <xf numFmtId="3" fontId="61" fillId="0" borderId="0" xfId="0" applyNumberFormat="1" applyFont="1" applyBorder="1"/>
    <xf numFmtId="0" fontId="62" fillId="0" borderId="0" xfId="0" applyFont="1"/>
    <xf numFmtId="3" fontId="46" fillId="0" borderId="0" xfId="0" applyNumberFormat="1" applyFont="1" applyBorder="1"/>
    <xf numFmtId="3" fontId="47" fillId="0" borderId="0" xfId="0" applyNumberFormat="1" applyFont="1" applyBorder="1"/>
    <xf numFmtId="3" fontId="11" fillId="2" borderId="41" xfId="0" applyNumberFormat="1" applyFont="1" applyFill="1" applyBorder="1" applyAlignment="1">
      <alignment vertical="center"/>
    </xf>
    <xf numFmtId="3" fontId="63" fillId="0" borderId="8" xfId="0" applyNumberFormat="1" applyFont="1" applyBorder="1" applyAlignment="1">
      <alignment horizontal="right"/>
    </xf>
    <xf numFmtId="3" fontId="64" fillId="2" borderId="8" xfId="0" applyNumberFormat="1" applyFont="1" applyFill="1" applyBorder="1" applyAlignment="1">
      <alignment horizontal="right"/>
    </xf>
    <xf numFmtId="3" fontId="26" fillId="0" borderId="8" xfId="0" applyNumberFormat="1" applyFont="1" applyBorder="1" applyAlignment="1">
      <alignment horizontal="center"/>
    </xf>
    <xf numFmtId="3" fontId="26" fillId="0" borderId="8" xfId="0" applyNumberFormat="1" applyFont="1" applyBorder="1" applyAlignment="1">
      <alignment horizontal="right"/>
    </xf>
    <xf numFmtId="3" fontId="13" fillId="2" borderId="8" xfId="0" applyNumberFormat="1" applyFont="1" applyFill="1" applyBorder="1" applyAlignment="1">
      <alignment horizontal="right"/>
    </xf>
    <xf numFmtId="3" fontId="48" fillId="2" borderId="4" xfId="0" applyNumberFormat="1" applyFont="1" applyFill="1" applyBorder="1" applyAlignment="1">
      <alignment vertical="center"/>
    </xf>
    <xf numFmtId="3" fontId="49" fillId="0" borderId="0" xfId="0" applyNumberFormat="1" applyFont="1" applyBorder="1"/>
    <xf numFmtId="0" fontId="50" fillId="0" borderId="0" xfId="0" applyFont="1"/>
    <xf numFmtId="3" fontId="12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right"/>
    </xf>
    <xf numFmtId="3" fontId="12" fillId="2" borderId="8" xfId="0" applyNumberFormat="1" applyFont="1" applyFill="1" applyBorder="1" applyAlignment="1">
      <alignment horizontal="right"/>
    </xf>
    <xf numFmtId="3" fontId="12" fillId="0" borderId="8" xfId="0" applyNumberFormat="1" applyFont="1" applyBorder="1"/>
    <xf numFmtId="3" fontId="12" fillId="2" borderId="8" xfId="0" applyNumberFormat="1" applyFont="1" applyFill="1" applyBorder="1"/>
    <xf numFmtId="164" fontId="24" fillId="0" borderId="0" xfId="4" applyNumberFormat="1" applyFont="1" applyFill="1" applyBorder="1" applyAlignment="1" applyProtection="1">
      <alignment horizontal="center" vertical="center"/>
    </xf>
    <xf numFmtId="0" fontId="32" fillId="0" borderId="8" xfId="0" applyFont="1" applyBorder="1" applyAlignment="1">
      <alignment horizontal="center"/>
    </xf>
    <xf numFmtId="3" fontId="32" fillId="0" borderId="8" xfId="0" applyNumberFormat="1" applyFont="1" applyBorder="1"/>
    <xf numFmtId="3" fontId="32" fillId="2" borderId="8" xfId="0" applyNumberFormat="1" applyFont="1" applyFill="1" applyBorder="1"/>
    <xf numFmtId="0" fontId="11" fillId="0" borderId="19" xfId="4" applyFont="1" applyFill="1" applyBorder="1" applyAlignment="1" applyProtection="1">
      <alignment horizontal="left" vertical="center" wrapText="1" indent="1"/>
    </xf>
    <xf numFmtId="164" fontId="9" fillId="0" borderId="44" xfId="4" applyNumberFormat="1" applyFont="1" applyFill="1" applyBorder="1" applyAlignment="1" applyProtection="1">
      <alignment horizontal="center" vertical="center" wrapText="1"/>
      <protection locked="0"/>
    </xf>
    <xf numFmtId="3" fontId="51" fillId="2" borderId="8" xfId="0" applyNumberFormat="1" applyFont="1" applyFill="1" applyBorder="1"/>
    <xf numFmtId="166" fontId="52" fillId="0" borderId="0" xfId="1" applyNumberFormat="1" applyFont="1"/>
    <xf numFmtId="0" fontId="52" fillId="0" borderId="0" xfId="0" applyFont="1"/>
    <xf numFmtId="166" fontId="53" fillId="0" borderId="0" xfId="1" applyNumberFormat="1" applyFont="1"/>
    <xf numFmtId="0" fontId="53" fillId="0" borderId="0" xfId="0" applyFont="1"/>
    <xf numFmtId="166" fontId="31" fillId="0" borderId="0" xfId="1" applyNumberFormat="1" applyFont="1"/>
    <xf numFmtId="0" fontId="0" fillId="0" borderId="0" xfId="0" applyAlignment="1">
      <alignment horizontal="right"/>
    </xf>
    <xf numFmtId="3" fontId="9" fillId="2" borderId="12" xfId="0" applyNumberFormat="1" applyFont="1" applyFill="1" applyBorder="1" applyAlignment="1">
      <alignment horizontal="right"/>
    </xf>
    <xf numFmtId="3" fontId="20" fillId="2" borderId="17" xfId="0" applyNumberFormat="1" applyFont="1" applyFill="1" applyBorder="1"/>
    <xf numFmtId="3" fontId="20" fillId="2" borderId="45" xfId="0" applyNumberFormat="1" applyFont="1" applyFill="1" applyBorder="1"/>
    <xf numFmtId="166" fontId="10" fillId="2" borderId="12" xfId="1" applyNumberFormat="1" applyFont="1" applyFill="1" applyBorder="1"/>
    <xf numFmtId="4" fontId="63" fillId="0" borderId="8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right"/>
    </xf>
    <xf numFmtId="3" fontId="9" fillId="0" borderId="20" xfId="0" applyNumberFormat="1" applyFont="1" applyBorder="1" applyAlignment="1">
      <alignment horizontal="right"/>
    </xf>
    <xf numFmtId="3" fontId="9" fillId="2" borderId="20" xfId="0" applyNumberFormat="1" applyFont="1" applyFill="1" applyBorder="1" applyAlignment="1">
      <alignment horizontal="right"/>
    </xf>
    <xf numFmtId="3" fontId="9" fillId="0" borderId="17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right"/>
    </xf>
    <xf numFmtId="3" fontId="9" fillId="2" borderId="17" xfId="0" applyNumberFormat="1" applyFont="1" applyFill="1" applyBorder="1" applyAlignment="1">
      <alignment horizontal="right"/>
    </xf>
    <xf numFmtId="0" fontId="0" fillId="0" borderId="0" xfId="0" applyFont="1"/>
    <xf numFmtId="166" fontId="8" fillId="0" borderId="0" xfId="1" applyNumberFormat="1" applyFont="1"/>
    <xf numFmtId="166" fontId="4" fillId="0" borderId="43" xfId="1" applyNumberFormat="1" applyFont="1" applyBorder="1"/>
    <xf numFmtId="166" fontId="3" fillId="0" borderId="12" xfId="1" applyNumberFormat="1" applyFont="1" applyBorder="1"/>
    <xf numFmtId="166" fontId="3" fillId="0" borderId="18" xfId="1" applyNumberFormat="1" applyFont="1" applyBorder="1"/>
    <xf numFmtId="166" fontId="3" fillId="0" borderId="38" xfId="1" applyNumberFormat="1" applyFont="1" applyBorder="1"/>
    <xf numFmtId="166" fontId="3" fillId="0" borderId="31" xfId="1" applyNumberFormat="1" applyFont="1" applyBorder="1"/>
    <xf numFmtId="0" fontId="3" fillId="0" borderId="22" xfId="0" applyFont="1" applyBorder="1"/>
    <xf numFmtId="166" fontId="3" fillId="0" borderId="29" xfId="1" applyNumberFormat="1" applyFont="1" applyBorder="1"/>
    <xf numFmtId="166" fontId="3" fillId="0" borderId="28" xfId="1" applyNumberFormat="1" applyFont="1" applyBorder="1"/>
    <xf numFmtId="166" fontId="3" fillId="0" borderId="46" xfId="1" applyNumberFormat="1" applyFont="1" applyBorder="1"/>
    <xf numFmtId="3" fontId="3" fillId="0" borderId="21" xfId="0" applyNumberFormat="1" applyFont="1" applyBorder="1" applyAlignment="1">
      <alignment wrapText="1"/>
    </xf>
    <xf numFmtId="3" fontId="3" fillId="0" borderId="22" xfId="0" applyNumberFormat="1" applyFont="1" applyBorder="1"/>
    <xf numFmtId="3" fontId="3" fillId="0" borderId="22" xfId="0" applyNumberFormat="1" applyFont="1" applyBorder="1" applyAlignment="1">
      <alignment wrapText="1"/>
    </xf>
    <xf numFmtId="3" fontId="3" fillId="0" borderId="47" xfId="0" applyNumberFormat="1" applyFont="1" applyBorder="1" applyAlignment="1">
      <alignment wrapText="1"/>
    </xf>
    <xf numFmtId="166" fontId="3" fillId="2" borderId="18" xfId="1" applyNumberFormat="1" applyFont="1" applyFill="1" applyBorder="1" applyAlignment="1"/>
    <xf numFmtId="166" fontId="3" fillId="2" borderId="12" xfId="1" applyNumberFormat="1" applyFont="1" applyFill="1" applyBorder="1" applyAlignment="1"/>
    <xf numFmtId="166" fontId="3" fillId="2" borderId="31" xfId="1" applyNumberFormat="1" applyFont="1" applyFill="1" applyBorder="1" applyAlignment="1"/>
    <xf numFmtId="166" fontId="3" fillId="0" borderId="39" xfId="1" applyNumberFormat="1" applyFont="1" applyFill="1" applyBorder="1"/>
    <xf numFmtId="3" fontId="20" fillId="0" borderId="12" xfId="0" applyNumberFormat="1" applyFont="1" applyFill="1" applyBorder="1"/>
    <xf numFmtId="3" fontId="19" fillId="0" borderId="8" xfId="0" applyNumberFormat="1" applyFont="1" applyFill="1" applyBorder="1" applyAlignment="1">
      <alignment wrapText="1"/>
    </xf>
    <xf numFmtId="3" fontId="54" fillId="0" borderId="2" xfId="0" applyNumberFormat="1" applyFont="1" applyFill="1" applyBorder="1" applyAlignment="1">
      <alignment wrapText="1"/>
    </xf>
    <xf numFmtId="3" fontId="20" fillId="0" borderId="13" xfId="0" applyNumberFormat="1" applyFont="1" applyFill="1" applyBorder="1"/>
    <xf numFmtId="3" fontId="20" fillId="0" borderId="14" xfId="0" applyNumberFormat="1" applyFont="1" applyFill="1" applyBorder="1"/>
    <xf numFmtId="3" fontId="54" fillId="0" borderId="17" xfId="0" applyNumberFormat="1" applyFont="1" applyFill="1" applyBorder="1"/>
    <xf numFmtId="3" fontId="54" fillId="2" borderId="17" xfId="0" applyNumberFormat="1" applyFont="1" applyFill="1" applyBorder="1"/>
    <xf numFmtId="3" fontId="54" fillId="0" borderId="12" xfId="0" applyNumberFormat="1" applyFont="1" applyFill="1" applyBorder="1"/>
    <xf numFmtId="3" fontId="54" fillId="2" borderId="12" xfId="0" applyNumberFormat="1" applyFont="1" applyFill="1" applyBorder="1"/>
    <xf numFmtId="3" fontId="55" fillId="0" borderId="20" xfId="0" applyNumberFormat="1" applyFont="1" applyFill="1" applyBorder="1"/>
    <xf numFmtId="3" fontId="55" fillId="2" borderId="20" xfId="0" applyNumberFormat="1" applyFont="1" applyFill="1" applyBorder="1"/>
    <xf numFmtId="3" fontId="20" fillId="0" borderId="20" xfId="0" applyNumberFormat="1" applyFont="1" applyFill="1" applyBorder="1"/>
    <xf numFmtId="3" fontId="54" fillId="0" borderId="20" xfId="0" applyNumberFormat="1" applyFont="1" applyFill="1" applyBorder="1"/>
    <xf numFmtId="3" fontId="54" fillId="2" borderId="20" xfId="0" applyNumberFormat="1" applyFont="1" applyFill="1" applyBorder="1"/>
    <xf numFmtId="3" fontId="54" fillId="0" borderId="12" xfId="0" applyNumberFormat="1" applyFont="1" applyFill="1" applyBorder="1" applyAlignment="1">
      <alignment wrapText="1"/>
    </xf>
    <xf numFmtId="3" fontId="56" fillId="0" borderId="12" xfId="0" applyNumberFormat="1" applyFont="1" applyFill="1" applyBorder="1"/>
    <xf numFmtId="3" fontId="56" fillId="2" borderId="20" xfId="0" applyNumberFormat="1" applyFont="1" applyFill="1" applyBorder="1"/>
    <xf numFmtId="3" fontId="20" fillId="2" borderId="4" xfId="0" applyNumberFormat="1" applyFont="1" applyFill="1" applyBorder="1"/>
    <xf numFmtId="3" fontId="20" fillId="2" borderId="30" xfId="0" applyNumberFormat="1" applyFont="1" applyFill="1" applyBorder="1" applyAlignment="1">
      <alignment wrapText="1"/>
    </xf>
    <xf numFmtId="3" fontId="19" fillId="2" borderId="30" xfId="0" applyNumberFormat="1" applyFont="1" applyFill="1" applyBorder="1" applyAlignment="1">
      <alignment wrapText="1"/>
    </xf>
    <xf numFmtId="3" fontId="56" fillId="2" borderId="18" xfId="0" applyNumberFormat="1" applyFont="1" applyFill="1" applyBorder="1"/>
    <xf numFmtId="3" fontId="57" fillId="2" borderId="12" xfId="0" applyNumberFormat="1" applyFont="1" applyFill="1" applyBorder="1"/>
    <xf numFmtId="3" fontId="55" fillId="2" borderId="12" xfId="0" applyNumberFormat="1" applyFont="1" applyFill="1" applyBorder="1"/>
    <xf numFmtId="3" fontId="57" fillId="2" borderId="31" xfId="0" applyNumberFormat="1" applyFont="1" applyFill="1" applyBorder="1"/>
    <xf numFmtId="3" fontId="57" fillId="2" borderId="12" xfId="0" applyNumberFormat="1" applyFont="1" applyFill="1" applyBorder="1" applyAlignment="1">
      <alignment horizontal="right"/>
    </xf>
    <xf numFmtId="3" fontId="55" fillId="2" borderId="12" xfId="0" applyNumberFormat="1" applyFont="1" applyFill="1" applyBorder="1" applyAlignment="1">
      <alignment horizontal="right"/>
    </xf>
    <xf numFmtId="3" fontId="55" fillId="2" borderId="31" xfId="0" applyNumberFormat="1" applyFont="1" applyFill="1" applyBorder="1"/>
    <xf numFmtId="3" fontId="54" fillId="2" borderId="8" xfId="0" applyNumberFormat="1" applyFont="1" applyFill="1" applyBorder="1" applyAlignment="1">
      <alignment wrapText="1"/>
    </xf>
    <xf numFmtId="3" fontId="57" fillId="2" borderId="48" xfId="0" applyNumberFormat="1" applyFont="1" applyFill="1" applyBorder="1"/>
    <xf numFmtId="3" fontId="57" fillId="2" borderId="14" xfId="0" applyNumberFormat="1" applyFont="1" applyFill="1" applyBorder="1"/>
    <xf numFmtId="3" fontId="55" fillId="2" borderId="14" xfId="0" applyNumberFormat="1" applyFont="1" applyFill="1" applyBorder="1"/>
    <xf numFmtId="3" fontId="55" fillId="2" borderId="15" xfId="0" applyNumberFormat="1" applyFont="1" applyFill="1" applyBorder="1"/>
    <xf numFmtId="166" fontId="10" fillId="0" borderId="12" xfId="1" applyNumberFormat="1" applyFont="1" applyBorder="1"/>
    <xf numFmtId="166" fontId="10" fillId="0" borderId="31" xfId="1" applyNumberFormat="1" applyFont="1" applyBorder="1"/>
    <xf numFmtId="3" fontId="54" fillId="2" borderId="45" xfId="0" applyNumberFormat="1" applyFont="1" applyFill="1" applyBorder="1"/>
    <xf numFmtId="3" fontId="54" fillId="2" borderId="28" xfId="0" applyNumberFormat="1" applyFont="1" applyFill="1" applyBorder="1"/>
    <xf numFmtId="3" fontId="55" fillId="2" borderId="49" xfId="0" applyNumberFormat="1" applyFont="1" applyFill="1" applyBorder="1"/>
    <xf numFmtId="166" fontId="11" fillId="0" borderId="28" xfId="1" applyNumberFormat="1" applyFont="1" applyFill="1" applyBorder="1" applyAlignment="1" applyProtection="1">
      <alignment vertical="center" wrapText="1"/>
    </xf>
    <xf numFmtId="166" fontId="11" fillId="0" borderId="50" xfId="1" applyNumberFormat="1" applyFont="1" applyFill="1" applyBorder="1" applyAlignment="1" applyProtection="1">
      <alignment vertical="center" wrapText="1"/>
    </xf>
    <xf numFmtId="0" fontId="9" fillId="0" borderId="13" xfId="4" applyFont="1" applyFill="1" applyBorder="1" applyAlignment="1" applyProtection="1">
      <alignment horizontal="left" vertical="center" wrapText="1" indent="1"/>
    </xf>
    <xf numFmtId="166" fontId="9" fillId="2" borderId="26" xfId="1" applyNumberFormat="1" applyFont="1" applyFill="1" applyBorder="1" applyAlignment="1" applyProtection="1">
      <alignment vertical="center" wrapText="1"/>
    </xf>
    <xf numFmtId="0" fontId="9" fillId="0" borderId="26" xfId="4" applyFont="1" applyFill="1" applyBorder="1" applyAlignment="1" applyProtection="1">
      <alignment horizontal="left" vertical="center" wrapText="1" indent="1"/>
    </xf>
    <xf numFmtId="166" fontId="9" fillId="0" borderId="8" xfId="1" applyNumberFormat="1" applyFont="1" applyFill="1" applyBorder="1" applyAlignment="1" applyProtection="1">
      <alignment vertical="center" wrapText="1"/>
    </xf>
    <xf numFmtId="0" fontId="26" fillId="0" borderId="18" xfId="4" applyFont="1" applyFill="1" applyBorder="1" applyAlignment="1" applyProtection="1">
      <alignment horizontal="left" vertical="center" wrapText="1" indent="1"/>
    </xf>
    <xf numFmtId="0" fontId="26" fillId="0" borderId="12" xfId="4" applyFont="1" applyFill="1" applyBorder="1" applyAlignment="1" applyProtection="1">
      <alignment horizontal="left" vertical="center" wrapText="1" indent="1"/>
    </xf>
    <xf numFmtId="0" fontId="11" fillId="0" borderId="21" xfId="4" applyFont="1" applyFill="1" applyBorder="1" applyAlignment="1" applyProtection="1">
      <alignment horizontal="left" vertical="center" wrapText="1" indent="1"/>
    </xf>
    <xf numFmtId="166" fontId="11" fillId="0" borderId="29" xfId="1" applyNumberFormat="1" applyFont="1" applyFill="1" applyBorder="1" applyAlignment="1" applyProtection="1">
      <alignment vertical="center" wrapText="1"/>
    </xf>
    <xf numFmtId="0" fontId="11" fillId="0" borderId="22" xfId="4" applyFont="1" applyFill="1" applyBorder="1" applyAlignment="1" applyProtection="1">
      <alignment horizontal="left" vertical="center" wrapText="1" indent="1"/>
    </xf>
    <xf numFmtId="0" fontId="11" fillId="0" borderId="51" xfId="4" applyFont="1" applyFill="1" applyBorder="1" applyAlignment="1" applyProtection="1">
      <alignment horizontal="left" vertical="center" wrapText="1" indent="1"/>
    </xf>
    <xf numFmtId="166" fontId="11" fillId="0" borderId="52" xfId="1" applyNumberFormat="1" applyFont="1" applyFill="1" applyBorder="1" applyAlignment="1" applyProtection="1">
      <alignment vertical="center" wrapText="1"/>
    </xf>
    <xf numFmtId="166" fontId="2" fillId="0" borderId="8" xfId="1" applyNumberFormat="1" applyFont="1" applyBorder="1" applyAlignment="1"/>
    <xf numFmtId="0" fontId="11" fillId="0" borderId="14" xfId="4" applyFont="1" applyFill="1" applyBorder="1" applyAlignment="1" applyProtection="1">
      <alignment horizontal="left" vertical="center" wrapText="1"/>
    </xf>
    <xf numFmtId="0" fontId="11" fillId="0" borderId="13" xfId="4" applyFont="1" applyFill="1" applyBorder="1" applyAlignment="1" applyProtection="1">
      <alignment horizontal="left" vertical="center" wrapText="1"/>
    </xf>
    <xf numFmtId="0" fontId="11" fillId="0" borderId="13" xfId="4" applyFont="1" applyFill="1" applyBorder="1" applyAlignment="1" applyProtection="1">
      <alignment horizontal="left"/>
    </xf>
    <xf numFmtId="0" fontId="11" fillId="0" borderId="53" xfId="4" applyFont="1" applyFill="1" applyBorder="1" applyAlignment="1" applyProtection="1">
      <alignment horizontal="left" vertical="center" wrapText="1"/>
    </xf>
    <xf numFmtId="0" fontId="9" fillId="0" borderId="22" xfId="4" applyFont="1" applyFill="1" applyBorder="1" applyAlignment="1" applyProtection="1">
      <alignment horizontal="left" indent="1"/>
    </xf>
    <xf numFmtId="0" fontId="9" fillId="0" borderId="47" xfId="4" applyFont="1" applyFill="1" applyBorder="1" applyAlignment="1" applyProtection="1">
      <alignment horizontal="left" indent="1"/>
    </xf>
    <xf numFmtId="164" fontId="9" fillId="0" borderId="33" xfId="4" applyNumberFormat="1" applyFont="1" applyFill="1" applyBorder="1" applyAlignment="1" applyProtection="1">
      <alignment horizontal="center" vertical="center" wrapText="1"/>
      <protection locked="0"/>
    </xf>
    <xf numFmtId="164" fontId="9" fillId="0" borderId="41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15" xfId="4" applyNumberFormat="1" applyFont="1" applyFill="1" applyBorder="1" applyAlignment="1" applyProtection="1">
      <alignment horizontal="center" vertical="center" wrapText="1"/>
      <protection locked="0"/>
    </xf>
    <xf numFmtId="164" fontId="9" fillId="0" borderId="38" xfId="4" applyNumberFormat="1" applyFont="1" applyFill="1" applyBorder="1" applyAlignment="1" applyProtection="1">
      <alignment horizontal="center" vertical="center" wrapText="1"/>
      <protection locked="0"/>
    </xf>
    <xf numFmtId="164" fontId="9" fillId="0" borderId="39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42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15" xfId="4" applyNumberFormat="1" applyFont="1" applyFill="1" applyBorder="1" applyAlignment="1" applyProtection="1">
      <alignment horizontal="center" vertical="center" wrapText="1"/>
    </xf>
    <xf numFmtId="164" fontId="21" fillId="0" borderId="0" xfId="4" applyNumberFormat="1" applyFont="1" applyFill="1" applyBorder="1" applyAlignment="1" applyProtection="1">
      <alignment vertical="center"/>
    </xf>
    <xf numFmtId="166" fontId="21" fillId="0" borderId="0" xfId="1" applyNumberFormat="1" applyFont="1" applyFill="1" applyBorder="1" applyAlignment="1" applyProtection="1">
      <alignment vertical="center"/>
    </xf>
    <xf numFmtId="166" fontId="9" fillId="0" borderId="13" xfId="1" applyNumberFormat="1" applyFont="1" applyFill="1" applyBorder="1" applyAlignment="1" applyProtection="1">
      <alignment vertical="center" wrapText="1"/>
    </xf>
    <xf numFmtId="0" fontId="9" fillId="0" borderId="0" xfId="4" applyFont="1" applyFill="1" applyBorder="1" applyAlignment="1" applyProtection="1">
      <alignment vertical="center"/>
    </xf>
    <xf numFmtId="164" fontId="11" fillId="0" borderId="7" xfId="4" applyNumberFormat="1" applyFont="1" applyFill="1" applyBorder="1" applyAlignment="1" applyProtection="1">
      <alignment vertical="center"/>
    </xf>
    <xf numFmtId="166" fontId="12" fillId="0" borderId="7" xfId="1" applyNumberFormat="1" applyFont="1" applyFill="1" applyBorder="1" applyAlignment="1" applyProtection="1"/>
    <xf numFmtId="166" fontId="9" fillId="0" borderId="49" xfId="1" applyNumberFormat="1" applyFont="1" applyFill="1" applyBorder="1" applyAlignment="1" applyProtection="1">
      <alignment vertical="center" wrapText="1"/>
    </xf>
    <xf numFmtId="166" fontId="11" fillId="0" borderId="14" xfId="1" applyNumberFormat="1" applyFont="1" applyFill="1" applyBorder="1" applyAlignment="1" applyProtection="1">
      <alignment vertical="center" wrapText="1"/>
    </xf>
    <xf numFmtId="166" fontId="11" fillId="0" borderId="26" xfId="1" applyNumberFormat="1" applyFont="1" applyFill="1" applyBorder="1" applyAlignment="1" applyProtection="1"/>
    <xf numFmtId="166" fontId="9" fillId="0" borderId="12" xfId="1" applyNumberFormat="1" applyFont="1" applyFill="1" applyBorder="1" applyAlignment="1" applyProtection="1"/>
    <xf numFmtId="166" fontId="9" fillId="0" borderId="45" xfId="1" applyNumberFormat="1" applyFont="1" applyFill="1" applyBorder="1" applyAlignment="1" applyProtection="1">
      <alignment vertical="center" wrapText="1"/>
    </xf>
    <xf numFmtId="0" fontId="0" fillId="0" borderId="0" xfId="0" applyAlignment="1"/>
    <xf numFmtId="166" fontId="1" fillId="0" borderId="0" xfId="1" applyNumberFormat="1" applyFont="1" applyAlignment="1"/>
    <xf numFmtId="3" fontId="55" fillId="2" borderId="54" xfId="0" applyNumberFormat="1" applyFont="1" applyFill="1" applyBorder="1"/>
    <xf numFmtId="3" fontId="55" fillId="2" borderId="50" xfId="0" applyNumberFormat="1" applyFont="1" applyFill="1" applyBorder="1"/>
    <xf numFmtId="3" fontId="56" fillId="2" borderId="55" xfId="0" applyNumberFormat="1" applyFont="1" applyFill="1" applyBorder="1"/>
    <xf numFmtId="3" fontId="56" fillId="2" borderId="54" xfId="0" applyNumberFormat="1" applyFont="1" applyFill="1" applyBorder="1"/>
    <xf numFmtId="3" fontId="55" fillId="2" borderId="13" xfId="0" applyNumberFormat="1" applyFont="1" applyFill="1" applyBorder="1" applyAlignment="1">
      <alignment wrapText="1"/>
    </xf>
    <xf numFmtId="0" fontId="28" fillId="0" borderId="0" xfId="0" applyFont="1"/>
    <xf numFmtId="0" fontId="58" fillId="0" borderId="10" xfId="0" applyFont="1" applyBorder="1"/>
    <xf numFmtId="0" fontId="58" fillId="0" borderId="10" xfId="0" applyFont="1" applyBorder="1" applyAlignment="1">
      <alignment wrapText="1"/>
    </xf>
    <xf numFmtId="0" fontId="58" fillId="0" borderId="11" xfId="0" applyFont="1" applyBorder="1"/>
    <xf numFmtId="0" fontId="5" fillId="2" borderId="8" xfId="0" applyFont="1" applyFill="1" applyBorder="1"/>
    <xf numFmtId="0" fontId="10" fillId="0" borderId="12" xfId="0" applyFont="1" applyBorder="1"/>
    <xf numFmtId="166" fontId="3" fillId="0" borderId="58" xfId="1" applyNumberFormat="1" applyFont="1" applyBorder="1"/>
    <xf numFmtId="0" fontId="3" fillId="0" borderId="56" xfId="0" applyFont="1" applyBorder="1"/>
    <xf numFmtId="0" fontId="3" fillId="0" borderId="23" xfId="0" applyFont="1" applyBorder="1" applyAlignment="1">
      <alignment wrapText="1"/>
    </xf>
    <xf numFmtId="0" fontId="3" fillId="0" borderId="23" xfId="0" applyFont="1" applyBorder="1"/>
    <xf numFmtId="0" fontId="3" fillId="0" borderId="43" xfId="0" applyFont="1" applyBorder="1"/>
    <xf numFmtId="0" fontId="43" fillId="0" borderId="0" xfId="4" applyFont="1" applyFill="1" applyBorder="1" applyAlignment="1" applyProtection="1">
      <alignment horizontal="center" vertical="center" wrapText="1"/>
    </xf>
    <xf numFmtId="0" fontId="38" fillId="0" borderId="0" xfId="4" applyFont="1" applyFill="1" applyBorder="1"/>
    <xf numFmtId="166" fontId="9" fillId="0" borderId="45" xfId="1" applyNumberFormat="1" applyFont="1" applyFill="1" applyBorder="1" applyAlignment="1" applyProtection="1">
      <alignment vertical="center" wrapText="1"/>
      <protection locked="0"/>
    </xf>
    <xf numFmtId="166" fontId="9" fillId="0" borderId="28" xfId="1" applyNumberFormat="1" applyFont="1" applyFill="1" applyBorder="1" applyAlignment="1" applyProtection="1">
      <alignment vertical="center" wrapText="1"/>
      <protection locked="0"/>
    </xf>
    <xf numFmtId="166" fontId="26" fillId="0" borderId="28" xfId="1" applyNumberFormat="1" applyFont="1" applyFill="1" applyBorder="1" applyAlignment="1" applyProtection="1">
      <alignment vertical="center" wrapText="1"/>
    </xf>
    <xf numFmtId="166" fontId="26" fillId="0" borderId="56" xfId="1" applyNumberFormat="1" applyFont="1" applyFill="1" applyBorder="1" applyAlignment="1" applyProtection="1">
      <alignment vertical="center" wrapText="1"/>
    </xf>
    <xf numFmtId="166" fontId="9" fillId="0" borderId="37" xfId="1" applyNumberFormat="1" applyFont="1" applyFill="1" applyBorder="1" applyAlignment="1" applyProtection="1">
      <alignment vertical="center" wrapText="1"/>
      <protection locked="0"/>
    </xf>
    <xf numFmtId="166" fontId="9" fillId="0" borderId="23" xfId="1" applyNumberFormat="1" applyFont="1" applyFill="1" applyBorder="1" applyAlignment="1" applyProtection="1">
      <alignment vertical="center" wrapText="1"/>
      <protection locked="0"/>
    </xf>
    <xf numFmtId="166" fontId="26" fillId="0" borderId="23" xfId="1" applyNumberFormat="1" applyFont="1" applyFill="1" applyBorder="1" applyAlignment="1" applyProtection="1">
      <alignment vertical="center" wrapText="1"/>
      <protection locked="0"/>
    </xf>
    <xf numFmtId="166" fontId="9" fillId="0" borderId="43" xfId="1" applyNumberFormat="1" applyFont="1" applyFill="1" applyBorder="1" applyAlignment="1" applyProtection="1">
      <alignment vertical="center" wrapText="1"/>
      <protection locked="0"/>
    </xf>
    <xf numFmtId="166" fontId="11" fillId="0" borderId="56" xfId="1" applyNumberFormat="1" applyFont="1" applyFill="1" applyBorder="1" applyAlignment="1" applyProtection="1">
      <alignment vertical="center" wrapText="1"/>
      <protection locked="0"/>
    </xf>
    <xf numFmtId="166" fontId="11" fillId="0" borderId="23" xfId="1" applyNumberFormat="1" applyFont="1" applyFill="1" applyBorder="1" applyAlignment="1" applyProtection="1">
      <alignment vertical="center" wrapText="1"/>
      <protection locked="0"/>
    </xf>
    <xf numFmtId="166" fontId="9" fillId="0" borderId="8" xfId="1" applyNumberFormat="1" applyFont="1" applyFill="1" applyBorder="1" applyAlignment="1" applyProtection="1">
      <alignment vertical="center" wrapText="1"/>
      <protection locked="0"/>
    </xf>
    <xf numFmtId="0" fontId="26" fillId="0" borderId="20" xfId="4" applyFont="1" applyFill="1" applyBorder="1" applyAlignment="1" applyProtection="1">
      <alignment horizontal="left" vertical="center" wrapText="1" indent="1"/>
    </xf>
    <xf numFmtId="166" fontId="26" fillId="0" borderId="49" xfId="1" applyNumberFormat="1" applyFont="1" applyFill="1" applyBorder="1" applyAlignment="1" applyProtection="1">
      <alignment vertical="center" wrapText="1"/>
    </xf>
    <xf numFmtId="166" fontId="26" fillId="0" borderId="24" xfId="1" applyNumberFormat="1" applyFont="1" applyFill="1" applyBorder="1" applyAlignment="1" applyProtection="1">
      <alignment vertical="center" wrapText="1"/>
      <protection locked="0"/>
    </xf>
    <xf numFmtId="0" fontId="9" fillId="0" borderId="17" xfId="4" applyFont="1" applyFill="1" applyBorder="1" applyAlignment="1" applyProtection="1">
      <alignment horizontal="left" vertical="center" wrapText="1" indent="2"/>
    </xf>
    <xf numFmtId="166" fontId="5" fillId="0" borderId="8" xfId="1" applyNumberFormat="1" applyFont="1" applyFill="1" applyBorder="1" applyAlignment="1" applyProtection="1">
      <alignment vertical="center" wrapText="1"/>
    </xf>
    <xf numFmtId="0" fontId="5" fillId="0" borderId="9" xfId="4" applyFont="1" applyFill="1" applyBorder="1" applyAlignment="1" applyProtection="1">
      <alignment horizontal="left" vertical="center" wrapText="1" indent="1"/>
    </xf>
    <xf numFmtId="3" fontId="55" fillId="2" borderId="9" xfId="0" applyNumberFormat="1" applyFont="1" applyFill="1" applyBorder="1" applyAlignment="1">
      <alignment wrapText="1"/>
    </xf>
    <xf numFmtId="3" fontId="56" fillId="2" borderId="14" xfId="0" applyNumberFormat="1" applyFont="1" applyFill="1" applyBorder="1"/>
    <xf numFmtId="166" fontId="11" fillId="0" borderId="6" xfId="1" applyNumberFormat="1" applyFont="1" applyFill="1" applyBorder="1" applyAlignment="1" applyProtection="1">
      <alignment vertical="center" wrapText="1"/>
    </xf>
    <xf numFmtId="0" fontId="23" fillId="0" borderId="18" xfId="4" applyFont="1" applyFill="1" applyBorder="1" applyAlignment="1" applyProtection="1">
      <alignment wrapText="1"/>
      <protection locked="0"/>
    </xf>
    <xf numFmtId="164" fontId="3" fillId="2" borderId="12" xfId="5" applyNumberFormat="1" applyFont="1" applyFill="1" applyBorder="1" applyAlignment="1" applyProtection="1">
      <alignment vertical="center" wrapText="1"/>
      <protection locked="0"/>
    </xf>
    <xf numFmtId="164" fontId="3" fillId="2" borderId="12" xfId="5" applyNumberFormat="1" applyFont="1" applyFill="1" applyBorder="1" applyAlignment="1">
      <alignment vertical="center" wrapText="1"/>
    </xf>
    <xf numFmtId="164" fontId="3" fillId="2" borderId="31" xfId="5" applyNumberFormat="1" applyFont="1" applyFill="1" applyBorder="1" applyAlignment="1">
      <alignment vertical="center" wrapText="1"/>
    </xf>
    <xf numFmtId="0" fontId="23" fillId="0" borderId="53" xfId="4" applyFont="1" applyFill="1" applyBorder="1" applyAlignment="1">
      <alignment horizontal="center" vertical="center"/>
    </xf>
    <xf numFmtId="0" fontId="41" fillId="0" borderId="54" xfId="4" applyFont="1" applyFill="1" applyBorder="1"/>
    <xf numFmtId="166" fontId="41" fillId="0" borderId="54" xfId="4" applyNumberFormat="1" applyFont="1" applyFill="1" applyBorder="1"/>
    <xf numFmtId="3" fontId="51" fillId="0" borderId="12" xfId="0" applyNumberFormat="1" applyFont="1" applyFill="1" applyBorder="1"/>
    <xf numFmtId="0" fontId="32" fillId="0" borderId="2" xfId="0" applyFont="1" applyBorder="1" applyAlignment="1">
      <alignment horizontal="left" vertical="center" wrapText="1"/>
    </xf>
    <xf numFmtId="49" fontId="10" fillId="0" borderId="0" xfId="5" applyNumberFormat="1" applyFont="1" applyFill="1" applyAlignment="1">
      <alignment horizontal="center" vertical="center" wrapText="1"/>
    </xf>
    <xf numFmtId="164" fontId="10" fillId="0" borderId="0" xfId="5" applyNumberFormat="1" applyFont="1" applyFill="1" applyAlignment="1">
      <alignment vertical="center" wrapText="1"/>
    </xf>
    <xf numFmtId="164" fontId="10" fillId="0" borderId="0" xfId="5" applyNumberFormat="1" applyFont="1" applyFill="1" applyAlignment="1">
      <alignment horizontal="center" vertical="center" wrapText="1"/>
    </xf>
    <xf numFmtId="164" fontId="32" fillId="0" borderId="0" xfId="5" applyNumberFormat="1" applyFont="1" applyFill="1" applyAlignment="1">
      <alignment horizontal="center"/>
    </xf>
    <xf numFmtId="164" fontId="5" fillId="0" borderId="65" xfId="5" applyNumberFormat="1" applyFont="1" applyFill="1" applyBorder="1" applyAlignment="1">
      <alignment horizontal="center" vertical="center"/>
    </xf>
    <xf numFmtId="0" fontId="10" fillId="0" borderId="0" xfId="5" applyFont="1"/>
    <xf numFmtId="0" fontId="44" fillId="0" borderId="0" xfId="5" applyFont="1"/>
    <xf numFmtId="0" fontId="10" fillId="2" borderId="0" xfId="5" applyFont="1" applyFill="1"/>
    <xf numFmtId="0" fontId="13" fillId="0" borderId="12" xfId="4" applyFont="1" applyFill="1" applyBorder="1" applyAlignment="1" applyProtection="1">
      <alignment horizontal="left" vertical="center" wrapText="1" indent="1"/>
    </xf>
    <xf numFmtId="166" fontId="13" fillId="0" borderId="28" xfId="1" applyNumberFormat="1" applyFont="1" applyFill="1" applyBorder="1" applyAlignment="1" applyProtection="1">
      <alignment vertical="center" wrapText="1"/>
      <protection locked="0"/>
    </xf>
    <xf numFmtId="166" fontId="13" fillId="0" borderId="23" xfId="1" applyNumberFormat="1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/>
    <xf numFmtId="166" fontId="8" fillId="0" borderId="0" xfId="1" applyNumberFormat="1" applyFont="1" applyFill="1"/>
    <xf numFmtId="166" fontId="8" fillId="0" borderId="0" xfId="1" applyNumberFormat="1" applyFont="1" applyAlignment="1">
      <alignment horizontal="right"/>
    </xf>
    <xf numFmtId="0" fontId="3" fillId="0" borderId="22" xfId="0" applyFont="1" applyBorder="1" applyAlignment="1">
      <alignment wrapText="1"/>
    </xf>
    <xf numFmtId="0" fontId="3" fillId="0" borderId="61" xfId="0" applyFont="1" applyBorder="1"/>
    <xf numFmtId="166" fontId="3" fillId="0" borderId="17" xfId="1" applyNumberFormat="1" applyFont="1" applyBorder="1"/>
    <xf numFmtId="3" fontId="4" fillId="0" borderId="53" xfId="0" applyNumberFormat="1" applyFont="1" applyBorder="1"/>
    <xf numFmtId="166" fontId="4" fillId="0" borderId="54" xfId="1" applyNumberFormat="1" applyFont="1" applyBorder="1"/>
    <xf numFmtId="166" fontId="4" fillId="0" borderId="42" xfId="1" applyNumberFormat="1" applyFont="1" applyBorder="1"/>
    <xf numFmtId="3" fontId="3" fillId="0" borderId="47" xfId="0" applyNumberFormat="1" applyFont="1" applyBorder="1"/>
    <xf numFmtId="166" fontId="3" fillId="0" borderId="39" xfId="1" applyNumberFormat="1" applyFont="1" applyBorder="1"/>
    <xf numFmtId="0" fontId="4" fillId="0" borderId="53" xfId="0" applyFont="1" applyBorder="1"/>
    <xf numFmtId="166" fontId="3" fillId="0" borderId="45" xfId="1" applyNumberFormat="1" applyFont="1" applyBorder="1"/>
    <xf numFmtId="3" fontId="30" fillId="0" borderId="22" xfId="0" applyNumberFormat="1" applyFont="1" applyBorder="1" applyAlignment="1">
      <alignment wrapText="1"/>
    </xf>
    <xf numFmtId="0" fontId="3" fillId="0" borderId="21" xfId="0" applyFont="1" applyBorder="1" applyAlignment="1">
      <alignment wrapText="1"/>
    </xf>
    <xf numFmtId="166" fontId="4" fillId="0" borderId="5" xfId="1" applyNumberFormat="1" applyFont="1" applyBorder="1"/>
    <xf numFmtId="3" fontId="4" fillId="0" borderId="2" xfId="0" applyNumberFormat="1" applyFont="1" applyBorder="1"/>
    <xf numFmtId="166" fontId="3" fillId="0" borderId="33" xfId="1" applyNumberFormat="1" applyFont="1" applyFill="1" applyBorder="1"/>
    <xf numFmtId="166" fontId="3" fillId="0" borderId="38" xfId="1" applyNumberFormat="1" applyFont="1" applyFill="1" applyBorder="1"/>
    <xf numFmtId="166" fontId="66" fillId="0" borderId="0" xfId="1" applyNumberFormat="1" applyFont="1" applyFill="1" applyBorder="1"/>
    <xf numFmtId="0" fontId="67" fillId="0" borderId="9" xfId="4" applyFont="1" applyFill="1" applyBorder="1"/>
    <xf numFmtId="0" fontId="67" fillId="0" borderId="8" xfId="4" applyFont="1" applyFill="1" applyBorder="1"/>
    <xf numFmtId="0" fontId="67" fillId="0" borderId="40" xfId="4" applyFont="1" applyFill="1" applyBorder="1"/>
    <xf numFmtId="0" fontId="67" fillId="0" borderId="32" xfId="4" applyFont="1" applyFill="1" applyBorder="1"/>
    <xf numFmtId="166" fontId="70" fillId="0" borderId="40" xfId="1" applyNumberFormat="1" applyFont="1" applyFill="1" applyBorder="1" applyAlignment="1">
      <alignment horizontal="center" vertical="center"/>
    </xf>
    <xf numFmtId="166" fontId="70" fillId="0" borderId="8" xfId="1" applyNumberFormat="1" applyFont="1" applyFill="1" applyBorder="1" applyAlignment="1">
      <alignment horizontal="center" vertical="center"/>
    </xf>
    <xf numFmtId="166" fontId="18" fillId="0" borderId="40" xfId="1" applyNumberFormat="1" applyFont="1" applyFill="1" applyBorder="1" applyAlignment="1">
      <alignment horizontal="center" vertical="center"/>
    </xf>
    <xf numFmtId="166" fontId="18" fillId="0" borderId="8" xfId="1" applyNumberFormat="1" applyFont="1" applyFill="1" applyBorder="1" applyAlignment="1">
      <alignment horizontal="center" vertical="center"/>
    </xf>
    <xf numFmtId="166" fontId="66" fillId="0" borderId="6" xfId="1" applyNumberFormat="1" applyFont="1" applyFill="1" applyBorder="1"/>
    <xf numFmtId="3" fontId="27" fillId="0" borderId="0" xfId="0" applyNumberFormat="1" applyFont="1"/>
    <xf numFmtId="3" fontId="54" fillId="0" borderId="10" xfId="0" applyNumberFormat="1" applyFont="1" applyFill="1" applyBorder="1" applyAlignment="1">
      <alignment wrapText="1"/>
    </xf>
    <xf numFmtId="3" fontId="55" fillId="0" borderId="11" xfId="0" applyNumberFormat="1" applyFont="1" applyFill="1" applyBorder="1" applyAlignment="1">
      <alignment wrapText="1"/>
    </xf>
    <xf numFmtId="3" fontId="19" fillId="0" borderId="11" xfId="0" applyNumberFormat="1" applyFont="1" applyFill="1" applyBorder="1" applyAlignment="1">
      <alignment wrapText="1"/>
    </xf>
    <xf numFmtId="3" fontId="54" fillId="0" borderId="11" xfId="0" applyNumberFormat="1" applyFont="1" applyFill="1" applyBorder="1" applyAlignment="1">
      <alignment wrapText="1"/>
    </xf>
    <xf numFmtId="3" fontId="54" fillId="2" borderId="57" xfId="0" applyNumberFormat="1" applyFont="1" applyFill="1" applyBorder="1"/>
    <xf numFmtId="3" fontId="54" fillId="2" borderId="35" xfId="0" applyNumberFormat="1" applyFont="1" applyFill="1" applyBorder="1"/>
    <xf numFmtId="3" fontId="55" fillId="2" borderId="36" xfId="0" applyNumberFormat="1" applyFont="1" applyFill="1" applyBorder="1"/>
    <xf numFmtId="3" fontId="20" fillId="0" borderId="41" xfId="0" applyNumberFormat="1" applyFont="1" applyFill="1" applyBorder="1"/>
    <xf numFmtId="3" fontId="20" fillId="0" borderId="16" xfId="0" applyNumberFormat="1" applyFont="1" applyFill="1" applyBorder="1"/>
    <xf numFmtId="3" fontId="20" fillId="0" borderId="19" xfId="0" applyNumberFormat="1" applyFont="1" applyFill="1" applyBorder="1"/>
    <xf numFmtId="3" fontId="55" fillId="0" borderId="12" xfId="0" applyNumberFormat="1" applyFont="1" applyFill="1" applyBorder="1"/>
    <xf numFmtId="3" fontId="20" fillId="0" borderId="17" xfId="0" applyNumberFormat="1" applyFont="1" applyFill="1" applyBorder="1"/>
    <xf numFmtId="3" fontId="20" fillId="0" borderId="15" xfId="0" applyNumberFormat="1" applyFont="1" applyFill="1" applyBorder="1"/>
    <xf numFmtId="3" fontId="19" fillId="0" borderId="9" xfId="0" applyNumberFormat="1" applyFont="1" applyFill="1" applyBorder="1" applyAlignment="1">
      <alignment wrapText="1"/>
    </xf>
    <xf numFmtId="3" fontId="20" fillId="0" borderId="27" xfId="0" applyNumberFormat="1" applyFont="1" applyFill="1" applyBorder="1"/>
    <xf numFmtId="3" fontId="54" fillId="0" borderId="49" xfId="0" applyNumberFormat="1" applyFont="1" applyFill="1" applyBorder="1" applyAlignment="1">
      <alignment wrapText="1"/>
    </xf>
    <xf numFmtId="3" fontId="48" fillId="0" borderId="19" xfId="0" applyNumberFormat="1" applyFont="1" applyFill="1" applyBorder="1"/>
    <xf numFmtId="3" fontId="56" fillId="2" borderId="12" xfId="0" applyNumberFormat="1" applyFont="1" applyFill="1" applyBorder="1"/>
    <xf numFmtId="3" fontId="57" fillId="0" borderId="12" xfId="0" applyNumberFormat="1" applyFont="1" applyFill="1" applyBorder="1"/>
    <xf numFmtId="3" fontId="55" fillId="0" borderId="18" xfId="0" applyNumberFormat="1" applyFont="1" applyFill="1" applyBorder="1"/>
    <xf numFmtId="3" fontId="48" fillId="2" borderId="18" xfId="0" applyNumberFormat="1" applyFont="1" applyFill="1" applyBorder="1"/>
    <xf numFmtId="3" fontId="20" fillId="0" borderId="18" xfId="0" applyNumberFormat="1" applyFont="1" applyFill="1" applyBorder="1"/>
    <xf numFmtId="3" fontId="20" fillId="0" borderId="33" xfId="0" applyNumberFormat="1" applyFont="1" applyFill="1" applyBorder="1"/>
    <xf numFmtId="3" fontId="20" fillId="0" borderId="38" xfId="0" applyNumberFormat="1" applyFont="1" applyFill="1" applyBorder="1"/>
    <xf numFmtId="3" fontId="20" fillId="2" borderId="14" xfId="0" applyNumberFormat="1" applyFont="1" applyFill="1" applyBorder="1"/>
    <xf numFmtId="3" fontId="19" fillId="0" borderId="13" xfId="0" applyNumberFormat="1" applyFont="1" applyFill="1" applyBorder="1" applyAlignment="1">
      <alignment wrapText="1"/>
    </xf>
    <xf numFmtId="3" fontId="20" fillId="2" borderId="26" xfId="0" applyNumberFormat="1" applyFont="1" applyFill="1" applyBorder="1"/>
    <xf numFmtId="3" fontId="54" fillId="0" borderId="17" xfId="0" applyNumberFormat="1" applyFont="1" applyFill="1" applyBorder="1" applyAlignment="1">
      <alignment wrapText="1"/>
    </xf>
    <xf numFmtId="3" fontId="20" fillId="2" borderId="32" xfId="0" applyNumberFormat="1" applyFont="1" applyFill="1" applyBorder="1"/>
    <xf numFmtId="3" fontId="20" fillId="2" borderId="66" xfId="0" applyNumberFormat="1" applyFont="1" applyFill="1" applyBorder="1"/>
    <xf numFmtId="3" fontId="51" fillId="2" borderId="6" xfId="0" applyNumberFormat="1" applyFont="1" applyFill="1" applyBorder="1"/>
    <xf numFmtId="3" fontId="54" fillId="2" borderId="3" xfId="0" applyNumberFormat="1" applyFont="1" applyFill="1" applyBorder="1" applyAlignment="1">
      <alignment wrapText="1"/>
    </xf>
    <xf numFmtId="3" fontId="55" fillId="2" borderId="3" xfId="0" applyNumberFormat="1" applyFont="1" applyFill="1" applyBorder="1" applyAlignment="1">
      <alignment wrapText="1"/>
    </xf>
    <xf numFmtId="3" fontId="56" fillId="2" borderId="21" xfId="0" applyNumberFormat="1" applyFont="1" applyFill="1" applyBorder="1"/>
    <xf numFmtId="3" fontId="56" fillId="2" borderId="33" xfId="0" applyNumberFormat="1" applyFont="1" applyFill="1" applyBorder="1"/>
    <xf numFmtId="3" fontId="57" fillId="2" borderId="22" xfId="0" applyNumberFormat="1" applyFont="1" applyFill="1" applyBorder="1"/>
    <xf numFmtId="3" fontId="57" fillId="2" borderId="38" xfId="0" applyNumberFormat="1" applyFont="1" applyFill="1" applyBorder="1"/>
    <xf numFmtId="3" fontId="55" fillId="2" borderId="38" xfId="0" applyNumberFormat="1" applyFont="1" applyFill="1" applyBorder="1"/>
    <xf numFmtId="3" fontId="55" fillId="2" borderId="38" xfId="0" applyNumberFormat="1" applyFont="1" applyFill="1" applyBorder="1" applyAlignment="1">
      <alignment horizontal="right"/>
    </xf>
    <xf numFmtId="3" fontId="55" fillId="2" borderId="39" xfId="0" applyNumberFormat="1" applyFont="1" applyFill="1" applyBorder="1"/>
    <xf numFmtId="3" fontId="57" fillId="2" borderId="35" xfId="0" applyNumberFormat="1" applyFont="1" applyFill="1" applyBorder="1"/>
    <xf numFmtId="3" fontId="55" fillId="2" borderId="25" xfId="0" applyNumberFormat="1" applyFont="1" applyFill="1" applyBorder="1" applyAlignment="1">
      <alignment wrapText="1"/>
    </xf>
    <xf numFmtId="3" fontId="54" fillId="2" borderId="30" xfId="0" applyNumberFormat="1" applyFont="1" applyFill="1" applyBorder="1" applyAlignment="1">
      <alignment wrapText="1"/>
    </xf>
    <xf numFmtId="0" fontId="65" fillId="0" borderId="25" xfId="4" applyFont="1" applyFill="1" applyBorder="1" applyAlignment="1" applyProtection="1">
      <alignment horizontal="center" vertical="center" wrapText="1"/>
    </xf>
    <xf numFmtId="3" fontId="19" fillId="0" borderId="25" xfId="0" applyNumberFormat="1" applyFont="1" applyFill="1" applyBorder="1" applyAlignment="1">
      <alignment wrapText="1"/>
    </xf>
    <xf numFmtId="3" fontId="19" fillId="0" borderId="30" xfId="0" applyNumberFormat="1" applyFont="1" applyFill="1" applyBorder="1" applyAlignment="1">
      <alignment wrapText="1"/>
    </xf>
    <xf numFmtId="3" fontId="55" fillId="0" borderId="56" xfId="0" applyNumberFormat="1" applyFont="1" applyFill="1" applyBorder="1" applyAlignment="1">
      <alignment wrapText="1"/>
    </xf>
    <xf numFmtId="3" fontId="55" fillId="0" borderId="23" xfId="0" applyNumberFormat="1" applyFont="1" applyFill="1" applyBorder="1" applyAlignment="1">
      <alignment wrapText="1"/>
    </xf>
    <xf numFmtId="3" fontId="54" fillId="0" borderId="23" xfId="0" applyNumberFormat="1" applyFont="1" applyFill="1" applyBorder="1" applyAlignment="1">
      <alignment wrapText="1"/>
    </xf>
    <xf numFmtId="0" fontId="50" fillId="0" borderId="43" xfId="0" applyFont="1" applyBorder="1" applyAlignment="1">
      <alignment wrapText="1"/>
    </xf>
    <xf numFmtId="166" fontId="0" fillId="0" borderId="0" xfId="1" applyNumberFormat="1" applyFont="1"/>
    <xf numFmtId="0" fontId="9" fillId="0" borderId="62" xfId="4" applyFont="1" applyFill="1" applyBorder="1" applyAlignment="1" applyProtection="1">
      <alignment vertical="center" wrapText="1"/>
    </xf>
    <xf numFmtId="164" fontId="5" fillId="3" borderId="14" xfId="5" applyNumberFormat="1" applyFont="1" applyFill="1" applyBorder="1" applyAlignment="1">
      <alignment horizontal="center" vertical="center" wrapText="1"/>
    </xf>
    <xf numFmtId="164" fontId="5" fillId="3" borderId="15" xfId="5" applyNumberFormat="1" applyFont="1" applyFill="1" applyBorder="1" applyAlignment="1">
      <alignment horizontal="center" vertical="center" wrapText="1"/>
    </xf>
    <xf numFmtId="164" fontId="3" fillId="2" borderId="54" xfId="5" applyNumberFormat="1" applyFont="1" applyFill="1" applyBorder="1" applyAlignment="1">
      <alignment vertical="center" wrapText="1"/>
    </xf>
    <xf numFmtId="166" fontId="11" fillId="0" borderId="40" xfId="1" applyNumberFormat="1" applyFont="1" applyFill="1" applyBorder="1" applyAlignment="1" applyProtection="1">
      <alignment vertical="center" wrapText="1"/>
    </xf>
    <xf numFmtId="0" fontId="10" fillId="0" borderId="40" xfId="4" applyFont="1" applyFill="1" applyBorder="1" applyAlignment="1" applyProtection="1">
      <alignment horizontal="left" vertical="center" wrapText="1" indent="1"/>
    </xf>
    <xf numFmtId="3" fontId="57" fillId="0" borderId="22" xfId="0" applyNumberFormat="1" applyFont="1" applyFill="1" applyBorder="1"/>
    <xf numFmtId="3" fontId="57" fillId="0" borderId="47" xfId="0" applyNumberFormat="1" applyFont="1" applyFill="1" applyBorder="1"/>
    <xf numFmtId="3" fontId="57" fillId="0" borderId="12" xfId="0" applyNumberFormat="1" applyFont="1" applyFill="1" applyBorder="1" applyAlignment="1">
      <alignment horizontal="right"/>
    </xf>
    <xf numFmtId="3" fontId="57" fillId="0" borderId="31" xfId="0" applyNumberFormat="1" applyFont="1" applyFill="1" applyBorder="1"/>
    <xf numFmtId="166" fontId="3" fillId="0" borderId="12" xfId="1" applyNumberFormat="1" applyFont="1" applyFill="1" applyBorder="1" applyAlignment="1"/>
    <xf numFmtId="166" fontId="3" fillId="0" borderId="31" xfId="1" applyNumberFormat="1" applyFont="1" applyFill="1" applyBorder="1" applyAlignment="1"/>
    <xf numFmtId="0" fontId="10" fillId="3" borderId="0" xfId="5" applyFont="1" applyFill="1"/>
    <xf numFmtId="49" fontId="5" fillId="3" borderId="13" xfId="5" applyNumberFormat="1" applyFont="1" applyFill="1" applyBorder="1" applyAlignment="1">
      <alignment horizontal="center" vertical="center" wrapText="1"/>
    </xf>
    <xf numFmtId="164" fontId="15" fillId="3" borderId="12" xfId="5" applyNumberFormat="1" applyFont="1" applyFill="1" applyBorder="1" applyAlignment="1">
      <alignment horizontal="left" vertical="center" wrapText="1"/>
    </xf>
    <xf numFmtId="3" fontId="51" fillId="0" borderId="20" xfId="0" applyNumberFormat="1" applyFont="1" applyFill="1" applyBorder="1"/>
    <xf numFmtId="3" fontId="20" fillId="2" borderId="21" xfId="0" applyNumberFormat="1" applyFont="1" applyFill="1" applyBorder="1"/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6" fontId="5" fillId="2" borderId="8" xfId="0" applyNumberFormat="1" applyFont="1" applyFill="1" applyBorder="1"/>
    <xf numFmtId="164" fontId="11" fillId="0" borderId="27" xfId="4" applyNumberFormat="1" applyFont="1" applyFill="1" applyBorder="1" applyAlignment="1" applyProtection="1">
      <alignment horizontal="center" vertical="center" wrapText="1"/>
      <protection locked="0"/>
    </xf>
    <xf numFmtId="166" fontId="11" fillId="0" borderId="8" xfId="1" applyNumberFormat="1" applyFont="1" applyFill="1" applyBorder="1" applyAlignment="1" applyProtection="1">
      <alignment horizontal="left" indent="1"/>
    </xf>
    <xf numFmtId="0" fontId="12" fillId="0" borderId="21" xfId="4" applyFont="1" applyFill="1" applyBorder="1" applyAlignment="1" applyProtection="1">
      <alignment horizontal="left"/>
    </xf>
    <xf numFmtId="166" fontId="12" fillId="0" borderId="18" xfId="1" applyNumberFormat="1" applyFont="1" applyFill="1" applyBorder="1" applyAlignment="1" applyProtection="1"/>
    <xf numFmtId="0" fontId="2" fillId="0" borderId="0" xfId="0" applyFont="1" applyFill="1"/>
    <xf numFmtId="166" fontId="1" fillId="0" borderId="0" xfId="1" applyNumberFormat="1" applyFont="1" applyFill="1"/>
    <xf numFmtId="0" fontId="0" fillId="0" borderId="0" xfId="0" applyFont="1" applyFill="1"/>
    <xf numFmtId="166" fontId="0" fillId="0" borderId="0" xfId="1" applyNumberFormat="1" applyFont="1" applyFill="1"/>
    <xf numFmtId="166" fontId="3" fillId="0" borderId="17" xfId="1" applyNumberFormat="1" applyFont="1" applyBorder="1" applyAlignment="1">
      <alignment horizontal="center" vertical="center" wrapText="1"/>
    </xf>
    <xf numFmtId="166" fontId="3" fillId="0" borderId="45" xfId="1" applyNumberFormat="1" applyFont="1" applyBorder="1" applyAlignment="1">
      <alignment horizontal="center" vertical="center" wrapText="1"/>
    </xf>
    <xf numFmtId="166" fontId="4" fillId="0" borderId="18" xfId="1" applyNumberFormat="1" applyFont="1" applyBorder="1" applyAlignment="1">
      <alignment horizontal="center" vertical="center" wrapText="1"/>
    </xf>
    <xf numFmtId="166" fontId="4" fillId="0" borderId="29" xfId="1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6" fontId="4" fillId="0" borderId="8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6" fontId="3" fillId="0" borderId="38" xfId="1" applyNumberFormat="1" applyFont="1" applyFill="1" applyBorder="1" applyAlignment="1"/>
    <xf numFmtId="0" fontId="44" fillId="0" borderId="77" xfId="4" applyFont="1" applyFill="1" applyBorder="1" applyAlignment="1" applyProtection="1">
      <alignment horizontal="center" vertical="center"/>
    </xf>
    <xf numFmtId="0" fontId="65" fillId="0" borderId="4" xfId="4" applyFont="1" applyFill="1" applyBorder="1" applyAlignment="1" applyProtection="1">
      <alignment horizontal="center" vertical="center" wrapText="1"/>
    </xf>
    <xf numFmtId="0" fontId="65" fillId="0" borderId="64" xfId="4" applyFont="1" applyFill="1" applyBorder="1" applyAlignment="1" applyProtection="1">
      <alignment horizontal="center" vertical="center" wrapText="1"/>
    </xf>
    <xf numFmtId="166" fontId="68" fillId="0" borderId="66" xfId="4" applyNumberFormat="1" applyFont="1" applyFill="1" applyBorder="1"/>
    <xf numFmtId="166" fontId="69" fillId="0" borderId="66" xfId="4" applyNumberFormat="1" applyFont="1" applyFill="1" applyBorder="1"/>
    <xf numFmtId="166" fontId="66" fillId="0" borderId="56" xfId="1" applyNumberFormat="1" applyFont="1" applyBorder="1"/>
    <xf numFmtId="166" fontId="3" fillId="2" borderId="0" xfId="0" applyNumberFormat="1" applyFont="1" applyFill="1"/>
    <xf numFmtId="166" fontId="3" fillId="2" borderId="18" xfId="1" applyNumberFormat="1" applyFont="1" applyFill="1" applyBorder="1"/>
    <xf numFmtId="166" fontId="71" fillId="0" borderId="0" xfId="1" applyNumberFormat="1" applyFont="1" applyFill="1" applyBorder="1"/>
    <xf numFmtId="166" fontId="71" fillId="0" borderId="0" xfId="1" applyNumberFormat="1" applyFont="1"/>
    <xf numFmtId="166" fontId="71" fillId="0" borderId="0" xfId="0" applyNumberFormat="1" applyFont="1"/>
    <xf numFmtId="0" fontId="58" fillId="0" borderId="11" xfId="0" applyFont="1" applyFill="1" applyBorder="1"/>
    <xf numFmtId="3" fontId="33" fillId="0" borderId="0" xfId="0" applyNumberFormat="1" applyFont="1"/>
    <xf numFmtId="3" fontId="48" fillId="0" borderId="67" xfId="0" applyNumberFormat="1" applyFont="1" applyFill="1" applyBorder="1"/>
    <xf numFmtId="3" fontId="55" fillId="0" borderId="60" xfId="0" applyNumberFormat="1" applyFont="1" applyFill="1" applyBorder="1"/>
    <xf numFmtId="3" fontId="56" fillId="0" borderId="35" xfId="0" applyNumberFormat="1" applyFont="1" applyFill="1" applyBorder="1"/>
    <xf numFmtId="3" fontId="57" fillId="0" borderId="35" xfId="0" applyNumberFormat="1" applyFont="1" applyFill="1" applyBorder="1"/>
    <xf numFmtId="3" fontId="55" fillId="0" borderId="36" xfId="0" applyNumberFormat="1" applyFont="1" applyFill="1" applyBorder="1"/>
    <xf numFmtId="49" fontId="14" fillId="2" borderId="13" xfId="5" applyNumberFormat="1" applyFont="1" applyFill="1" applyBorder="1" applyAlignment="1">
      <alignment horizontal="center" vertical="center" wrapText="1"/>
    </xf>
    <xf numFmtId="164" fontId="14" fillId="2" borderId="14" xfId="5" applyNumberFormat="1" applyFont="1" applyFill="1" applyBorder="1" applyAlignment="1">
      <alignment horizontal="center" vertical="center" wrapText="1"/>
    </xf>
    <xf numFmtId="164" fontId="14" fillId="2" borderId="14" xfId="5" applyNumberFormat="1" applyFont="1" applyFill="1" applyBorder="1" applyAlignment="1" applyProtection="1">
      <alignment horizontal="center" vertical="center" wrapText="1"/>
    </xf>
    <xf numFmtId="3" fontId="14" fillId="2" borderId="14" xfId="5" applyNumberFormat="1" applyFont="1" applyFill="1" applyBorder="1" applyAlignment="1" applyProtection="1">
      <alignment horizontal="center" vertical="center" wrapText="1"/>
    </xf>
    <xf numFmtId="3" fontId="14" fillId="2" borderId="15" xfId="5" applyNumberFormat="1" applyFont="1" applyFill="1" applyBorder="1" applyAlignment="1" applyProtection="1">
      <alignment horizontal="center" vertical="center" wrapText="1"/>
    </xf>
    <xf numFmtId="49" fontId="14" fillId="2" borderId="51" xfId="5" applyNumberFormat="1" applyFont="1" applyFill="1" applyBorder="1" applyAlignment="1">
      <alignment horizontal="center" vertical="center" wrapText="1"/>
    </xf>
    <xf numFmtId="164" fontId="15" fillId="2" borderId="62" xfId="5" applyNumberFormat="1" applyFont="1" applyFill="1" applyBorder="1" applyAlignment="1" applyProtection="1">
      <alignment horizontal="left" vertical="center" wrapText="1"/>
      <protection locked="0"/>
    </xf>
    <xf numFmtId="165" fontId="15" fillId="2" borderId="62" xfId="5" applyNumberFormat="1" applyFont="1" applyFill="1" applyBorder="1" applyAlignment="1" applyProtection="1">
      <alignment horizontal="center" vertical="center" wrapText="1"/>
      <protection locked="0"/>
    </xf>
    <xf numFmtId="3" fontId="15" fillId="2" borderId="62" xfId="5" applyNumberFormat="1" applyFont="1" applyFill="1" applyBorder="1" applyAlignment="1" applyProtection="1">
      <alignment horizontal="center" vertical="center" wrapText="1"/>
      <protection locked="0"/>
    </xf>
    <xf numFmtId="164" fontId="15" fillId="2" borderId="62" xfId="5" applyNumberFormat="1" applyFont="1" applyFill="1" applyBorder="1" applyAlignment="1" applyProtection="1">
      <alignment horizontal="center" vertical="center" wrapText="1"/>
      <protection locked="0"/>
    </xf>
    <xf numFmtId="3" fontId="15" fillId="2" borderId="63" xfId="5" applyNumberFormat="1" applyFont="1" applyFill="1" applyBorder="1" applyAlignment="1">
      <alignment horizontal="center" vertical="center" wrapText="1"/>
    </xf>
    <xf numFmtId="164" fontId="14" fillId="2" borderId="14" xfId="5" applyNumberFormat="1" applyFont="1" applyFill="1" applyBorder="1" applyAlignment="1" applyProtection="1">
      <alignment horizontal="center" vertical="center" wrapText="1"/>
      <protection locked="0"/>
    </xf>
    <xf numFmtId="49" fontId="14" fillId="3" borderId="61" xfId="5" applyNumberFormat="1" applyFont="1" applyFill="1" applyBorder="1" applyAlignment="1">
      <alignment horizontal="center" vertical="center" wrapText="1"/>
    </xf>
    <xf numFmtId="164" fontId="15" fillId="3" borderId="17" xfId="5" applyNumberFormat="1" applyFont="1" applyFill="1" applyBorder="1" applyAlignment="1" applyProtection="1">
      <alignment horizontal="left" vertical="center" wrapText="1"/>
      <protection locked="0"/>
    </xf>
    <xf numFmtId="165" fontId="15" fillId="3" borderId="17" xfId="5" applyNumberFormat="1" applyFont="1" applyFill="1" applyBorder="1" applyAlignment="1" applyProtection="1">
      <alignment horizontal="center" vertical="center" wrapText="1"/>
      <protection locked="0"/>
    </xf>
    <xf numFmtId="164" fontId="15" fillId="3" borderId="17" xfId="5" applyNumberFormat="1" applyFont="1" applyFill="1" applyBorder="1" applyAlignment="1" applyProtection="1">
      <alignment horizontal="center" vertical="center" wrapText="1"/>
      <protection locked="0"/>
    </xf>
    <xf numFmtId="164" fontId="15" fillId="3" borderId="44" xfId="5" applyNumberFormat="1" applyFont="1" applyFill="1" applyBorder="1" applyAlignment="1">
      <alignment horizontal="center" vertical="center" wrapText="1"/>
    </xf>
    <xf numFmtId="49" fontId="14" fillId="3" borderId="22" xfId="5" applyNumberFormat="1" applyFont="1" applyFill="1" applyBorder="1" applyAlignment="1">
      <alignment horizontal="center" vertical="center" wrapText="1"/>
    </xf>
    <xf numFmtId="165" fontId="15" fillId="3" borderId="12" xfId="5" applyNumberFormat="1" applyFont="1" applyFill="1" applyBorder="1" applyAlignment="1" applyProtection="1">
      <alignment horizontal="center" vertical="center" wrapText="1"/>
      <protection locked="0"/>
    </xf>
    <xf numFmtId="164" fontId="15" fillId="3" borderId="12" xfId="5" applyNumberFormat="1" applyFont="1" applyFill="1" applyBorder="1" applyAlignment="1" applyProtection="1">
      <alignment horizontal="center" vertical="center" wrapText="1"/>
      <protection locked="0"/>
    </xf>
    <xf numFmtId="3" fontId="15" fillId="3" borderId="12" xfId="5" applyNumberFormat="1" applyFont="1" applyFill="1" applyBorder="1" applyAlignment="1" applyProtection="1">
      <alignment horizontal="center" vertical="center" wrapText="1"/>
      <protection locked="0"/>
    </xf>
    <xf numFmtId="49" fontId="14" fillId="3" borderId="34" xfId="5" applyNumberFormat="1" applyFont="1" applyFill="1" applyBorder="1" applyAlignment="1">
      <alignment horizontal="center" vertical="center" wrapText="1"/>
    </xf>
    <xf numFmtId="164" fontId="15" fillId="3" borderId="20" xfId="5" applyNumberFormat="1" applyFont="1" applyFill="1" applyBorder="1" applyAlignment="1">
      <alignment horizontal="left" vertical="center" wrapText="1"/>
    </xf>
    <xf numFmtId="165" fontId="15" fillId="3" borderId="20" xfId="5" applyNumberFormat="1" applyFont="1" applyFill="1" applyBorder="1" applyAlignment="1" applyProtection="1">
      <alignment horizontal="center" vertical="center" wrapText="1"/>
      <protection locked="0"/>
    </xf>
    <xf numFmtId="164" fontId="15" fillId="3" borderId="20" xfId="5" applyNumberFormat="1" applyFont="1" applyFill="1" applyBorder="1" applyAlignment="1" applyProtection="1">
      <alignment horizontal="center" vertical="center" wrapText="1"/>
      <protection locked="0"/>
    </xf>
    <xf numFmtId="3" fontId="15" fillId="3" borderId="20" xfId="5" applyNumberFormat="1" applyFont="1" applyFill="1" applyBorder="1" applyAlignment="1" applyProtection="1">
      <alignment horizontal="center" vertical="center" wrapText="1"/>
      <protection locked="0"/>
    </xf>
    <xf numFmtId="49" fontId="14" fillId="3" borderId="13" xfId="5" applyNumberFormat="1" applyFont="1" applyFill="1" applyBorder="1" applyAlignment="1">
      <alignment horizontal="center" vertical="center" wrapText="1"/>
    </xf>
    <xf numFmtId="164" fontId="14" fillId="3" borderId="14" xfId="5" applyNumberFormat="1" applyFont="1" applyFill="1" applyBorder="1" applyAlignment="1" applyProtection="1">
      <alignment horizontal="center" vertical="center" wrapText="1"/>
      <protection locked="0"/>
    </xf>
    <xf numFmtId="164" fontId="14" fillId="3" borderId="14" xfId="5" applyNumberFormat="1" applyFont="1" applyFill="1" applyBorder="1" applyAlignment="1" applyProtection="1">
      <alignment horizontal="center" vertical="center" wrapText="1"/>
    </xf>
    <xf numFmtId="164" fontId="15" fillId="3" borderId="12" xfId="5" applyNumberFormat="1" applyFont="1" applyFill="1" applyBorder="1" applyAlignment="1" applyProtection="1">
      <alignment horizontal="left" vertical="center" wrapText="1"/>
      <protection locked="0"/>
    </xf>
    <xf numFmtId="164" fontId="15" fillId="3" borderId="20" xfId="5" applyNumberFormat="1" applyFont="1" applyFill="1" applyBorder="1" applyAlignment="1" applyProtection="1">
      <alignment horizontal="left" vertical="center" wrapText="1"/>
      <protection locked="0"/>
    </xf>
    <xf numFmtId="164" fontId="10" fillId="2" borderId="12" xfId="5" applyNumberFormat="1" applyFont="1" applyFill="1" applyBorder="1" applyAlignment="1" applyProtection="1">
      <alignment horizontal="center" vertical="center" wrapText="1"/>
    </xf>
    <xf numFmtId="164" fontId="5" fillId="2" borderId="12" xfId="5" applyNumberFormat="1" applyFont="1" applyFill="1" applyBorder="1" applyAlignment="1" applyProtection="1">
      <alignment horizontal="center" vertical="center" wrapText="1"/>
    </xf>
    <xf numFmtId="0" fontId="11" fillId="0" borderId="25" xfId="4" applyFont="1" applyFill="1" applyBorder="1" applyAlignment="1" applyProtection="1">
      <alignment horizontal="left" vertical="center" wrapText="1" indent="1"/>
    </xf>
    <xf numFmtId="0" fontId="36" fillId="0" borderId="16" xfId="4" applyFont="1" applyFill="1" applyBorder="1" applyAlignment="1" applyProtection="1">
      <alignment horizontal="left" vertical="center" wrapText="1" indent="1"/>
    </xf>
    <xf numFmtId="166" fontId="26" fillId="0" borderId="80" xfId="1" applyNumberFormat="1" applyFont="1" applyFill="1" applyBorder="1" applyAlignment="1" applyProtection="1">
      <alignment vertical="center" wrapText="1"/>
    </xf>
    <xf numFmtId="166" fontId="26" fillId="0" borderId="4" xfId="1" applyNumberFormat="1" applyFont="1" applyFill="1" applyBorder="1" applyAlignment="1" applyProtection="1">
      <alignment vertical="center" wrapText="1"/>
    </xf>
    <xf numFmtId="0" fontId="11" fillId="0" borderId="50" xfId="4" applyFont="1" applyFill="1" applyBorder="1" applyAlignment="1" applyProtection="1">
      <alignment horizontal="left" vertical="center" wrapText="1" indent="1"/>
    </xf>
    <xf numFmtId="166" fontId="11" fillId="2" borderId="6" xfId="1" applyNumberFormat="1" applyFont="1" applyFill="1" applyBorder="1" applyAlignment="1" applyProtection="1">
      <alignment vertical="center" wrapText="1"/>
    </xf>
    <xf numFmtId="166" fontId="11" fillId="0" borderId="42" xfId="1" applyNumberFormat="1" applyFont="1" applyFill="1" applyBorder="1" applyAlignment="1" applyProtection="1">
      <alignment vertical="center" wrapText="1"/>
    </xf>
    <xf numFmtId="166" fontId="9" fillId="0" borderId="12" xfId="1" applyNumberFormat="1" applyFont="1" applyFill="1" applyBorder="1" applyAlignment="1" applyProtection="1">
      <alignment vertical="center" wrapText="1"/>
    </xf>
    <xf numFmtId="0" fontId="26" fillId="0" borderId="21" xfId="4" applyFont="1" applyFill="1" applyBorder="1" applyAlignment="1" applyProtection="1">
      <alignment horizontal="left" vertical="center" wrapText="1" indent="2"/>
    </xf>
    <xf numFmtId="166" fontId="26" fillId="0" borderId="18" xfId="1" applyNumberFormat="1" applyFont="1" applyFill="1" applyBorder="1" applyAlignment="1" applyProtection="1">
      <alignment vertical="center" wrapText="1"/>
    </xf>
    <xf numFmtId="166" fontId="9" fillId="0" borderId="38" xfId="1" applyNumberFormat="1" applyFont="1" applyFill="1" applyBorder="1" applyAlignment="1" applyProtection="1">
      <alignment vertical="center" wrapText="1"/>
      <protection locked="0"/>
    </xf>
    <xf numFmtId="166" fontId="9" fillId="0" borderId="38" xfId="1" applyNumberFormat="1" applyFont="1" applyFill="1" applyBorder="1" applyAlignment="1" applyProtection="1">
      <alignment vertical="center" wrapText="1"/>
    </xf>
    <xf numFmtId="0" fontId="9" fillId="0" borderId="47" xfId="4" applyFont="1" applyFill="1" applyBorder="1" applyAlignment="1" applyProtection="1">
      <alignment horizontal="left" vertical="center" wrapText="1" indent="2"/>
    </xf>
    <xf numFmtId="166" fontId="9" fillId="0" borderId="31" xfId="1" applyNumberFormat="1" applyFont="1" applyFill="1" applyBorder="1" applyAlignment="1" applyProtection="1">
      <alignment vertical="center" wrapText="1"/>
    </xf>
    <xf numFmtId="166" fontId="9" fillId="0" borderId="39" xfId="1" applyNumberFormat="1" applyFont="1" applyFill="1" applyBorder="1" applyAlignment="1" applyProtection="1">
      <alignment vertical="center" wrapText="1"/>
      <protection locked="0"/>
    </xf>
    <xf numFmtId="49" fontId="14" fillId="3" borderId="21" xfId="5" applyNumberFormat="1" applyFont="1" applyFill="1" applyBorder="1" applyAlignment="1">
      <alignment horizontal="center" vertical="center" wrapText="1"/>
    </xf>
    <xf numFmtId="164" fontId="15" fillId="3" borderId="18" xfId="5" applyNumberFormat="1" applyFont="1" applyFill="1" applyBorder="1" applyAlignment="1">
      <alignment horizontal="left" vertical="center" wrapText="1"/>
    </xf>
    <xf numFmtId="164" fontId="15" fillId="3" borderId="18" xfId="5" applyNumberFormat="1" applyFont="1" applyFill="1" applyBorder="1" applyAlignment="1">
      <alignment horizontal="center" vertical="center" wrapText="1"/>
    </xf>
    <xf numFmtId="164" fontId="14" fillId="3" borderId="18" xfId="5" applyNumberFormat="1" applyFont="1" applyFill="1" applyBorder="1" applyAlignment="1">
      <alignment horizontal="center" vertical="center" wrapText="1"/>
    </xf>
    <xf numFmtId="164" fontId="15" fillId="3" borderId="33" xfId="5" applyNumberFormat="1" applyFont="1" applyFill="1" applyBorder="1" applyAlignment="1">
      <alignment horizontal="center" vertical="center" wrapText="1"/>
    </xf>
    <xf numFmtId="0" fontId="15" fillId="3" borderId="0" xfId="5" applyFont="1" applyFill="1"/>
    <xf numFmtId="164" fontId="15" fillId="3" borderId="38" xfId="5" applyNumberFormat="1" applyFont="1" applyFill="1" applyBorder="1" applyAlignment="1">
      <alignment horizontal="center" vertical="center" wrapText="1"/>
    </xf>
    <xf numFmtId="164" fontId="15" fillId="3" borderId="41" xfId="5" applyNumberFormat="1" applyFont="1" applyFill="1" applyBorder="1" applyAlignment="1">
      <alignment horizontal="center" vertical="center" wrapText="1"/>
    </xf>
    <xf numFmtId="164" fontId="15" fillId="3" borderId="14" xfId="5" applyNumberFormat="1" applyFont="1" applyFill="1" applyBorder="1" applyAlignment="1" applyProtection="1">
      <alignment horizontal="center" vertical="center" wrapText="1"/>
      <protection locked="0"/>
    </xf>
    <xf numFmtId="164" fontId="15" fillId="3" borderId="14" xfId="5" applyNumberFormat="1" applyFont="1" applyFill="1" applyBorder="1" applyAlignment="1" applyProtection="1">
      <alignment horizontal="center" vertical="center" wrapText="1"/>
    </xf>
    <xf numFmtId="164" fontId="15" fillId="3" borderId="15" xfId="5" applyNumberFormat="1" applyFont="1" applyFill="1" applyBorder="1" applyAlignment="1" applyProtection="1">
      <alignment horizontal="center" vertical="center" wrapText="1"/>
    </xf>
    <xf numFmtId="166" fontId="5" fillId="2" borderId="79" xfId="1" applyNumberFormat="1" applyFont="1" applyFill="1" applyBorder="1" applyAlignment="1">
      <alignment horizontal="center" vertical="center"/>
    </xf>
    <xf numFmtId="166" fontId="5" fillId="0" borderId="79" xfId="1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166" fontId="5" fillId="2" borderId="6" xfId="0" applyNumberFormat="1" applyFont="1" applyFill="1" applyBorder="1"/>
    <xf numFmtId="166" fontId="32" fillId="2" borderId="12" xfId="1" applyNumberFormat="1" applyFont="1" applyFill="1" applyBorder="1"/>
    <xf numFmtId="166" fontId="10" fillId="0" borderId="12" xfId="1" applyNumberFormat="1" applyFont="1" applyFill="1" applyBorder="1"/>
    <xf numFmtId="0" fontId="10" fillId="0" borderId="12" xfId="0" applyFont="1" applyFill="1" applyBorder="1"/>
    <xf numFmtId="3" fontId="10" fillId="2" borderId="21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166" fontId="10" fillId="2" borderId="18" xfId="1" applyNumberFormat="1" applyFont="1" applyFill="1" applyBorder="1" applyAlignment="1">
      <alignment horizontal="center" vertical="center"/>
    </xf>
    <xf numFmtId="166" fontId="10" fillId="2" borderId="33" xfId="1" applyNumberFormat="1" applyFont="1" applyFill="1" applyBorder="1" applyAlignment="1">
      <alignment horizontal="center" vertical="center"/>
    </xf>
    <xf numFmtId="166" fontId="10" fillId="0" borderId="22" xfId="1" applyNumberFormat="1" applyFont="1" applyBorder="1"/>
    <xf numFmtId="166" fontId="10" fillId="0" borderId="38" xfId="1" applyNumberFormat="1" applyFont="1" applyBorder="1" applyAlignment="1">
      <alignment horizontal="center"/>
    </xf>
    <xf numFmtId="166" fontId="10" fillId="2" borderId="22" xfId="1" applyNumberFormat="1" applyFont="1" applyFill="1" applyBorder="1"/>
    <xf numFmtId="166" fontId="10" fillId="2" borderId="38" xfId="1" applyNumberFormat="1" applyFont="1" applyFill="1" applyBorder="1" applyAlignment="1">
      <alignment horizontal="center"/>
    </xf>
    <xf numFmtId="166" fontId="10" fillId="0" borderId="22" xfId="1" applyNumberFormat="1" applyFont="1" applyFill="1" applyBorder="1"/>
    <xf numFmtId="166" fontId="10" fillId="0" borderId="38" xfId="1" applyNumberFormat="1" applyFont="1" applyFill="1" applyBorder="1" applyAlignment="1">
      <alignment horizontal="center"/>
    </xf>
    <xf numFmtId="166" fontId="10" fillId="0" borderId="47" xfId="1" applyNumberFormat="1" applyFont="1" applyBorder="1"/>
    <xf numFmtId="0" fontId="10" fillId="0" borderId="31" xfId="0" applyFont="1" applyBorder="1"/>
    <xf numFmtId="166" fontId="10" fillId="0" borderId="39" xfId="1" applyNumberFormat="1" applyFont="1" applyBorder="1" applyAlignment="1">
      <alignment horizontal="center"/>
    </xf>
    <xf numFmtId="166" fontId="5" fillId="0" borderId="32" xfId="1" applyNumberFormat="1" applyFont="1" applyBorder="1" applyAlignment="1">
      <alignment horizontal="center" vertical="center" wrapText="1"/>
    </xf>
    <xf numFmtId="166" fontId="14" fillId="2" borderId="4" xfId="1" applyNumberFormat="1" applyFont="1" applyFill="1" applyBorder="1" applyAlignment="1">
      <alignment horizontal="center" vertical="center"/>
    </xf>
    <xf numFmtId="166" fontId="5" fillId="2" borderId="6" xfId="1" applyNumberFormat="1" applyFont="1" applyFill="1" applyBorder="1"/>
    <xf numFmtId="166" fontId="5" fillId="0" borderId="6" xfId="0" applyNumberFormat="1" applyFont="1" applyFill="1" applyBorder="1"/>
    <xf numFmtId="167" fontId="12" fillId="0" borderId="8" xfId="0" applyNumberFormat="1" applyFont="1" applyBorder="1" applyAlignment="1">
      <alignment horizontal="center"/>
    </xf>
    <xf numFmtId="0" fontId="58" fillId="0" borderId="11" xfId="0" applyFont="1" applyBorder="1" applyAlignment="1">
      <alignment wrapText="1"/>
    </xf>
    <xf numFmtId="0" fontId="65" fillId="0" borderId="1" xfId="4" applyFont="1" applyFill="1" applyBorder="1" applyAlignment="1" applyProtection="1">
      <alignment horizontal="center" vertical="center" wrapText="1"/>
    </xf>
    <xf numFmtId="0" fontId="65" fillId="0" borderId="8" xfId="4" applyFont="1" applyFill="1" applyBorder="1" applyAlignment="1" applyProtection="1">
      <alignment horizontal="center" vertical="center" wrapText="1"/>
    </xf>
    <xf numFmtId="0" fontId="22" fillId="0" borderId="25" xfId="4" applyFont="1" applyFill="1" applyBorder="1" applyAlignment="1" applyProtection="1">
      <alignment horizontal="center" vertical="center" wrapText="1"/>
    </xf>
    <xf numFmtId="0" fontId="23" fillId="0" borderId="12" xfId="4" applyFont="1" applyFill="1" applyBorder="1" applyAlignment="1">
      <alignment horizontal="center" vertical="center"/>
    </xf>
    <xf numFmtId="0" fontId="23" fillId="0" borderId="61" xfId="4" applyFont="1" applyFill="1" applyBorder="1" applyAlignment="1">
      <alignment horizontal="center" vertical="center"/>
    </xf>
    <xf numFmtId="166" fontId="23" fillId="0" borderId="54" xfId="6" applyNumberFormat="1" applyFont="1" applyFill="1" applyBorder="1" applyAlignment="1" applyProtection="1">
      <alignment horizontal="center" vertical="center"/>
      <protection locked="0"/>
    </xf>
    <xf numFmtId="166" fontId="23" fillId="0" borderId="50" xfId="6" applyNumberFormat="1" applyFont="1" applyFill="1" applyBorder="1" applyAlignment="1" applyProtection="1">
      <alignment horizontal="center" vertical="center"/>
      <protection locked="0"/>
    </xf>
    <xf numFmtId="166" fontId="23" fillId="0" borderId="42" xfId="6" applyNumberFormat="1" applyFont="1" applyFill="1" applyBorder="1" applyAlignment="1">
      <alignment horizontal="center" vertical="center"/>
    </xf>
    <xf numFmtId="166" fontId="23" fillId="0" borderId="12" xfId="6" applyNumberFormat="1" applyFont="1" applyFill="1" applyBorder="1" applyAlignment="1" applyProtection="1">
      <alignment horizontal="center" vertical="center"/>
      <protection locked="0"/>
    </xf>
    <xf numFmtId="166" fontId="23" fillId="0" borderId="28" xfId="6" applyNumberFormat="1" applyFont="1" applyFill="1" applyBorder="1" applyAlignment="1" applyProtection="1">
      <alignment horizontal="center" vertical="center"/>
      <protection locked="0"/>
    </xf>
    <xf numFmtId="166" fontId="23" fillId="0" borderId="18" xfId="6" applyNumberFormat="1" applyFont="1" applyFill="1" applyBorder="1" applyAlignment="1" applyProtection="1">
      <alignment horizontal="center" vertical="center"/>
      <protection locked="0"/>
    </xf>
    <xf numFmtId="166" fontId="23" fillId="0" borderId="29" xfId="6" applyNumberFormat="1" applyFont="1" applyFill="1" applyBorder="1" applyAlignment="1" applyProtection="1">
      <alignment horizontal="center" vertical="center"/>
      <protection locked="0"/>
    </xf>
    <xf numFmtId="166" fontId="23" fillId="0" borderId="31" xfId="6" applyNumberFormat="1" applyFont="1" applyFill="1" applyBorder="1" applyAlignment="1" applyProtection="1">
      <alignment horizontal="center" vertical="center"/>
      <protection locked="0"/>
    </xf>
    <xf numFmtId="166" fontId="23" fillId="0" borderId="46" xfId="6" applyNumberFormat="1" applyFont="1" applyFill="1" applyBorder="1" applyAlignment="1" applyProtection="1">
      <alignment horizontal="center" vertical="center"/>
      <protection locked="0"/>
    </xf>
    <xf numFmtId="166" fontId="3" fillId="0" borderId="0" xfId="0" applyNumberFormat="1" applyFont="1"/>
    <xf numFmtId="0" fontId="44" fillId="0" borderId="8" xfId="4" applyFont="1" applyFill="1" applyBorder="1" applyAlignment="1" applyProtection="1">
      <alignment horizontal="center" vertical="center"/>
    </xf>
    <xf numFmtId="164" fontId="0" fillId="0" borderId="0" xfId="0" applyNumberFormat="1"/>
    <xf numFmtId="164" fontId="14" fillId="2" borderId="15" xfId="5" applyNumberFormat="1" applyFont="1" applyFill="1" applyBorder="1" applyAlignment="1" applyProtection="1">
      <alignment horizontal="center" vertical="center" wrapText="1"/>
    </xf>
    <xf numFmtId="49" fontId="14" fillId="0" borderId="13" xfId="5" applyNumberFormat="1" applyFont="1" applyFill="1" applyBorder="1" applyAlignment="1">
      <alignment horizontal="center" vertical="center" wrapText="1"/>
    </xf>
    <xf numFmtId="3" fontId="72" fillId="0" borderId="8" xfId="0" applyNumberFormat="1" applyFont="1" applyFill="1" applyBorder="1"/>
    <xf numFmtId="166" fontId="3" fillId="2" borderId="17" xfId="1" applyNumberFormat="1" applyFont="1" applyFill="1" applyBorder="1" applyAlignment="1"/>
    <xf numFmtId="166" fontId="3" fillId="0" borderId="44" xfId="1" applyNumberFormat="1" applyFont="1" applyFill="1" applyBorder="1"/>
    <xf numFmtId="0" fontId="44" fillId="0" borderId="56" xfId="4" applyFont="1" applyFill="1" applyBorder="1" applyAlignment="1" applyProtection="1">
      <alignment horizontal="center" vertical="center"/>
    </xf>
    <xf numFmtId="166" fontId="66" fillId="0" borderId="4" xfId="1" applyNumberFormat="1" applyFont="1" applyBorder="1"/>
    <xf numFmtId="166" fontId="66" fillId="0" borderId="8" xfId="1" applyNumberFormat="1" applyFont="1" applyBorder="1"/>
    <xf numFmtId="0" fontId="66" fillId="0" borderId="1" xfId="4" applyFont="1" applyFill="1" applyBorder="1"/>
    <xf numFmtId="0" fontId="66" fillId="0" borderId="8" xfId="4" applyFont="1" applyFill="1" applyBorder="1"/>
    <xf numFmtId="0" fontId="66" fillId="0" borderId="4" xfId="4" applyFont="1" applyFill="1" applyBorder="1"/>
    <xf numFmtId="0" fontId="67" fillId="0" borderId="4" xfId="4" applyFont="1" applyFill="1" applyBorder="1"/>
    <xf numFmtId="0" fontId="67" fillId="0" borderId="1" xfId="4" applyFont="1" applyFill="1" applyBorder="1"/>
    <xf numFmtId="166" fontId="37" fillId="0" borderId="12" xfId="6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wrapText="1"/>
    </xf>
    <xf numFmtId="0" fontId="20" fillId="2" borderId="56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3" fontId="20" fillId="2" borderId="9" xfId="0" applyNumberFormat="1" applyFont="1" applyFill="1" applyBorder="1" applyAlignment="1">
      <alignment horizontal="left" wrapText="1"/>
    </xf>
    <xf numFmtId="3" fontId="20" fillId="2" borderId="7" xfId="0" applyNumberFormat="1" applyFont="1" applyFill="1" applyBorder="1" applyAlignment="1">
      <alignment horizontal="left" wrapText="1"/>
    </xf>
    <xf numFmtId="3" fontId="20" fillId="2" borderId="66" xfId="0" applyNumberFormat="1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3" fillId="0" borderId="9" xfId="0" applyFont="1" applyBorder="1" applyAlignment="1">
      <alignment horizontal="left" wrapText="1"/>
    </xf>
    <xf numFmtId="0" fontId="33" fillId="0" borderId="40" xfId="0" applyFont="1" applyBorder="1" applyAlignment="1">
      <alignment horizontal="left" wrapText="1"/>
    </xf>
    <xf numFmtId="0" fontId="33" fillId="0" borderId="3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9" xfId="0" applyFont="1" applyBorder="1" applyAlignment="1">
      <alignment horizontal="center" wrapText="1"/>
    </xf>
    <xf numFmtId="0" fontId="12" fillId="0" borderId="40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9" xfId="0" applyFont="1" applyBorder="1" applyAlignment="1"/>
    <xf numFmtId="0" fontId="12" fillId="0" borderId="40" xfId="0" applyFont="1" applyBorder="1" applyAlignment="1"/>
    <xf numFmtId="0" fontId="12" fillId="0" borderId="32" xfId="0" applyFont="1" applyBorder="1" applyAlignment="1"/>
    <xf numFmtId="0" fontId="12" fillId="0" borderId="9" xfId="0" applyFont="1" applyBorder="1" applyAlignment="1" applyProtection="1">
      <alignment horizontal="left" wrapText="1"/>
    </xf>
    <xf numFmtId="0" fontId="12" fillId="0" borderId="40" xfId="0" applyFont="1" applyBorder="1" applyAlignment="1" applyProtection="1">
      <alignment horizontal="left" wrapText="1"/>
    </xf>
    <xf numFmtId="0" fontId="12" fillId="0" borderId="32" xfId="0" applyFont="1" applyBorder="1" applyAlignment="1" applyProtection="1">
      <alignment horizontal="left" wrapText="1"/>
    </xf>
    <xf numFmtId="0" fontId="26" fillId="0" borderId="9" xfId="0" applyFont="1" applyBorder="1" applyAlignment="1"/>
    <xf numFmtId="0" fontId="26" fillId="0" borderId="40" xfId="0" applyFont="1" applyBorder="1" applyAlignment="1"/>
    <xf numFmtId="0" fontId="26" fillId="0" borderId="32" xfId="0" applyFont="1" applyBorder="1" applyAlignment="1"/>
    <xf numFmtId="0" fontId="63" fillId="0" borderId="9" xfId="0" applyFont="1" applyBorder="1" applyAlignment="1">
      <alignment horizontal="left"/>
    </xf>
    <xf numFmtId="0" fontId="63" fillId="0" borderId="40" xfId="0" applyFont="1" applyBorder="1" applyAlignment="1">
      <alignment horizontal="left"/>
    </xf>
    <xf numFmtId="0" fontId="63" fillId="0" borderId="3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68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1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8" xfId="0" applyFont="1" applyBorder="1" applyAlignment="1">
      <alignment vertical="center" wrapText="1"/>
    </xf>
    <xf numFmtId="0" fontId="48" fillId="0" borderId="10" xfId="0" applyFont="1" applyBorder="1" applyAlignment="1">
      <alignment horizontal="left"/>
    </xf>
    <xf numFmtId="0" fontId="48" fillId="0" borderId="69" xfId="0" applyFont="1" applyBorder="1" applyAlignment="1">
      <alignment horizontal="left"/>
    </xf>
    <xf numFmtId="0" fontId="48" fillId="0" borderId="35" xfId="0" applyFont="1" applyBorder="1" applyAlignment="1">
      <alignment horizontal="left"/>
    </xf>
    <xf numFmtId="49" fontId="5" fillId="2" borderId="12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Border="1" applyAlignment="1">
      <alignment horizontal="center"/>
    </xf>
    <xf numFmtId="49" fontId="5" fillId="0" borderId="70" xfId="5" applyNumberFormat="1" applyFont="1" applyFill="1" applyBorder="1" applyAlignment="1">
      <alignment horizontal="center" vertical="center" wrapText="1"/>
    </xf>
    <xf numFmtId="49" fontId="5" fillId="0" borderId="71" xfId="5" applyNumberFormat="1" applyFont="1" applyFill="1" applyBorder="1" applyAlignment="1">
      <alignment horizontal="center" vertical="center" wrapText="1"/>
    </xf>
    <xf numFmtId="164" fontId="5" fillId="0" borderId="72" xfId="5" applyNumberFormat="1" applyFont="1" applyFill="1" applyBorder="1" applyAlignment="1">
      <alignment horizontal="center" vertical="center"/>
    </xf>
    <xf numFmtId="164" fontId="5" fillId="0" borderId="73" xfId="5" applyNumberFormat="1" applyFont="1" applyFill="1" applyBorder="1" applyAlignment="1">
      <alignment horizontal="center" vertical="center"/>
    </xf>
    <xf numFmtId="164" fontId="5" fillId="0" borderId="72" xfId="5" applyNumberFormat="1" applyFont="1" applyFill="1" applyBorder="1" applyAlignment="1">
      <alignment horizontal="center" vertical="center" wrapText="1"/>
    </xf>
    <xf numFmtId="164" fontId="5" fillId="0" borderId="73" xfId="5" applyNumberFormat="1" applyFont="1" applyFill="1" applyBorder="1" applyAlignment="1">
      <alignment horizontal="center" vertical="center" wrapText="1"/>
    </xf>
    <xf numFmtId="164" fontId="5" fillId="0" borderId="74" xfId="5" applyNumberFormat="1" applyFont="1" applyFill="1" applyBorder="1" applyAlignment="1">
      <alignment horizontal="center" vertical="center"/>
    </xf>
    <xf numFmtId="164" fontId="5" fillId="0" borderId="75" xfId="5" applyNumberFormat="1" applyFont="1" applyFill="1" applyBorder="1" applyAlignment="1">
      <alignment horizontal="center" vertical="center"/>
    </xf>
    <xf numFmtId="164" fontId="5" fillId="0" borderId="76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9" xfId="4" applyFont="1" applyFill="1" applyBorder="1" applyAlignment="1" applyProtection="1">
      <alignment horizontal="left" vertical="center" wrapText="1"/>
    </xf>
    <xf numFmtId="0" fontId="11" fillId="0" borderId="40" xfId="4" applyFont="1" applyFill="1" applyBorder="1" applyAlignment="1" applyProtection="1">
      <alignment horizontal="left" vertical="center" wrapText="1"/>
    </xf>
    <xf numFmtId="0" fontId="11" fillId="0" borderId="48" xfId="4" applyFont="1" applyFill="1" applyBorder="1" applyAlignment="1" applyProtection="1">
      <alignment horizontal="left" vertical="center" wrapText="1"/>
    </xf>
    <xf numFmtId="164" fontId="11" fillId="0" borderId="0" xfId="4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" fillId="2" borderId="7" xfId="0" applyFont="1" applyFill="1" applyBorder="1" applyAlignment="1">
      <alignment horizontal="right"/>
    </xf>
    <xf numFmtId="0" fontId="60" fillId="0" borderId="77" xfId="0" applyFont="1" applyFill="1" applyBorder="1" applyAlignment="1">
      <alignment horizontal="center"/>
    </xf>
    <xf numFmtId="0" fontId="60" fillId="0" borderId="78" xfId="0" applyFont="1" applyFill="1" applyBorder="1" applyAlignment="1">
      <alignment horizontal="center"/>
    </xf>
    <xf numFmtId="0" fontId="60" fillId="0" borderId="79" xfId="0" applyFont="1" applyFill="1" applyBorder="1" applyAlignment="1">
      <alignment horizontal="center"/>
    </xf>
    <xf numFmtId="0" fontId="60" fillId="0" borderId="25" xfId="0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/>
    </xf>
    <xf numFmtId="0" fontId="60" fillId="0" borderId="64" xfId="0" applyFont="1" applyFill="1" applyBorder="1" applyAlignment="1">
      <alignment horizontal="center"/>
    </xf>
    <xf numFmtId="0" fontId="60" fillId="0" borderId="30" xfId="0" applyFont="1" applyFill="1" applyBorder="1" applyAlignment="1">
      <alignment horizontal="center"/>
    </xf>
    <xf numFmtId="0" fontId="60" fillId="0" borderId="7" xfId="0" applyFont="1" applyFill="1" applyBorder="1" applyAlignment="1">
      <alignment horizontal="center"/>
    </xf>
    <xf numFmtId="0" fontId="60" fillId="0" borderId="6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0" fillId="0" borderId="40" xfId="4" applyFont="1" applyFill="1" applyBorder="1" applyAlignment="1">
      <alignment horizontal="center" wrapText="1"/>
    </xf>
    <xf numFmtId="0" fontId="70" fillId="0" borderId="32" xfId="4" applyFont="1" applyFill="1" applyBorder="1" applyAlignment="1">
      <alignment horizontal="center" wrapText="1"/>
    </xf>
    <xf numFmtId="0" fontId="66" fillId="0" borderId="9" xfId="0" applyFont="1" applyBorder="1" applyAlignment="1">
      <alignment horizontal="left" wrapText="1"/>
    </xf>
    <xf numFmtId="0" fontId="66" fillId="0" borderId="40" xfId="0" applyFont="1" applyBorder="1" applyAlignment="1">
      <alignment horizontal="left" wrapText="1"/>
    </xf>
    <xf numFmtId="0" fontId="66" fillId="0" borderId="32" xfId="0" applyFont="1" applyBorder="1" applyAlignment="1">
      <alignment horizontal="left" wrapText="1"/>
    </xf>
    <xf numFmtId="164" fontId="24" fillId="0" borderId="0" xfId="4" applyNumberFormat="1" applyFont="1" applyFill="1" applyBorder="1" applyAlignment="1" applyProtection="1">
      <alignment horizontal="center" vertical="center" wrapText="1"/>
    </xf>
    <xf numFmtId="0" fontId="39" fillId="0" borderId="7" xfId="3" applyFont="1" applyFill="1" applyBorder="1" applyAlignment="1" applyProtection="1">
      <alignment horizontal="right"/>
    </xf>
    <xf numFmtId="0" fontId="40" fillId="0" borderId="7" xfId="3" applyFont="1" applyFill="1" applyBorder="1" applyAlignment="1" applyProtection="1">
      <alignment horizontal="right"/>
    </xf>
    <xf numFmtId="0" fontId="41" fillId="0" borderId="16" xfId="4" applyFont="1" applyFill="1" applyBorder="1" applyAlignment="1">
      <alignment horizontal="center" vertical="center" wrapText="1"/>
    </xf>
    <xf numFmtId="0" fontId="41" fillId="0" borderId="51" xfId="4" applyFont="1" applyFill="1" applyBorder="1" applyAlignment="1">
      <alignment horizontal="center" vertical="center" wrapText="1"/>
    </xf>
    <xf numFmtId="0" fontId="41" fillId="0" borderId="19" xfId="4" applyFont="1" applyFill="1" applyBorder="1" applyAlignment="1">
      <alignment horizontal="center" vertical="center" wrapText="1"/>
    </xf>
    <xf numFmtId="0" fontId="41" fillId="0" borderId="62" xfId="4" applyFont="1" applyFill="1" applyBorder="1" applyAlignment="1">
      <alignment horizontal="center" vertical="center" wrapText="1"/>
    </xf>
    <xf numFmtId="0" fontId="41" fillId="0" borderId="80" xfId="4" applyFont="1" applyFill="1" applyBorder="1" applyAlignment="1">
      <alignment horizontal="center" vertical="center" wrapText="1"/>
    </xf>
    <xf numFmtId="0" fontId="41" fillId="0" borderId="1" xfId="4" applyFont="1" applyFill="1" applyBorder="1" applyAlignment="1">
      <alignment horizontal="center" vertical="center" wrapText="1"/>
    </xf>
    <xf numFmtId="0" fontId="41" fillId="0" borderId="67" xfId="4" applyFont="1" applyFill="1" applyBorder="1" applyAlignment="1">
      <alignment horizontal="center" vertical="center" wrapText="1"/>
    </xf>
    <xf numFmtId="0" fontId="41" fillId="0" borderId="27" xfId="4" applyFont="1" applyFill="1" applyBorder="1" applyAlignment="1">
      <alignment horizontal="center" vertical="center" wrapText="1"/>
    </xf>
    <xf numFmtId="0" fontId="41" fillId="0" borderId="63" xfId="4" applyFont="1" applyFill="1" applyBorder="1" applyAlignment="1">
      <alignment horizontal="center" vertical="center" wrapText="1"/>
    </xf>
    <xf numFmtId="164" fontId="59" fillId="0" borderId="0" xfId="4" applyNumberFormat="1" applyFont="1" applyFill="1" applyBorder="1" applyAlignment="1" applyProtection="1">
      <alignment horizontal="center" vertical="center" wrapText="1"/>
    </xf>
    <xf numFmtId="0" fontId="65" fillId="0" borderId="9" xfId="4" applyFont="1" applyFill="1" applyBorder="1" applyAlignment="1" applyProtection="1">
      <alignment horizontal="center" vertical="center" wrapText="1"/>
    </xf>
    <xf numFmtId="0" fontId="65" fillId="0" borderId="40" xfId="4" applyFont="1" applyFill="1" applyBorder="1" applyAlignment="1" applyProtection="1">
      <alignment horizontal="center" vertical="center" wrapText="1"/>
    </xf>
    <xf numFmtId="0" fontId="65" fillId="0" borderId="32" xfId="4" applyFont="1" applyFill="1" applyBorder="1" applyAlignment="1" applyProtection="1">
      <alignment horizontal="center" vertical="center" wrapText="1"/>
    </xf>
    <xf numFmtId="0" fontId="68" fillId="0" borderId="81" xfId="4" applyFont="1" applyFill="1" applyBorder="1" applyAlignment="1">
      <alignment horizontal="center" wrapText="1"/>
    </xf>
    <xf numFmtId="0" fontId="68" fillId="0" borderId="59" xfId="4" applyFont="1" applyFill="1" applyBorder="1" applyAlignment="1">
      <alignment horizontal="center" wrapText="1"/>
    </xf>
    <xf numFmtId="0" fontId="66" fillId="0" borderId="40" xfId="4" applyFont="1" applyFill="1" applyBorder="1" applyAlignment="1">
      <alignment horizontal="center" wrapText="1"/>
    </xf>
    <xf numFmtId="0" fontId="66" fillId="0" borderId="32" xfId="4" applyFont="1" applyFill="1" applyBorder="1" applyAlignment="1">
      <alignment horizontal="center" wrapText="1"/>
    </xf>
  </cellXfs>
  <cellStyles count="7">
    <cellStyle name="Ezres" xfId="1" builtinId="3"/>
    <cellStyle name="Ezres 2" xfId="2"/>
    <cellStyle name="Ezres 2 2" xfId="6"/>
    <cellStyle name="Normál" xfId="0" builtinId="0"/>
    <cellStyle name="Normál_Adósságotkeletkeztető1" xfId="3"/>
    <cellStyle name="Normál_KVRENMUNKA" xfId="4"/>
    <cellStyle name="Normál_rendelet mellékletei (1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28" zoomScaleNormal="100" workbookViewId="0">
      <selection activeCell="K37" sqref="K37"/>
    </sheetView>
  </sheetViews>
  <sheetFormatPr defaultRowHeight="14.25" x14ac:dyDescent="0.2"/>
  <cols>
    <col min="1" max="1" width="37.85546875" style="73" customWidth="1"/>
    <col min="2" max="2" width="17.140625" style="73" customWidth="1"/>
    <col min="3" max="3" width="15.28515625" style="73" customWidth="1"/>
    <col min="4" max="4" width="13.85546875" style="73" customWidth="1"/>
    <col min="5" max="7" width="13.42578125" style="73" customWidth="1"/>
    <col min="8" max="8" width="18" style="73" customWidth="1"/>
    <col min="9" max="9" width="17" style="83" customWidth="1"/>
    <col min="10" max="10" width="17.140625" style="95" bestFit="1" customWidth="1"/>
  </cols>
  <sheetData>
    <row r="1" spans="1:10" ht="37.5" customHeight="1" x14ac:dyDescent="0.25">
      <c r="A1" s="552" t="s">
        <v>299</v>
      </c>
      <c r="B1" s="552"/>
      <c r="C1" s="552"/>
      <c r="D1" s="552"/>
      <c r="E1" s="552"/>
      <c r="F1" s="552"/>
      <c r="G1" s="552"/>
      <c r="H1" s="552"/>
      <c r="I1" s="552"/>
    </row>
    <row r="2" spans="1:10" ht="15" x14ac:dyDescent="0.25">
      <c r="A2" s="79"/>
      <c r="B2" s="79"/>
      <c r="C2" s="79"/>
      <c r="D2" s="79"/>
      <c r="E2" s="79"/>
      <c r="F2" s="79"/>
      <c r="G2" s="79"/>
      <c r="H2" s="79"/>
      <c r="I2" s="80"/>
    </row>
    <row r="3" spans="1:10" ht="15" x14ac:dyDescent="0.25">
      <c r="A3" s="79"/>
      <c r="B3" s="79"/>
      <c r="C3" s="79"/>
      <c r="D3" s="79"/>
      <c r="E3" s="79"/>
      <c r="F3" s="79"/>
      <c r="G3" s="79"/>
      <c r="H3" s="79"/>
      <c r="I3" s="80"/>
      <c r="J3" s="148"/>
    </row>
    <row r="4" spans="1:10" ht="18.75" customHeight="1" thickBot="1" x14ac:dyDescent="0.25">
      <c r="A4" s="96"/>
      <c r="B4" s="96"/>
      <c r="C4" s="96"/>
      <c r="D4" s="301"/>
      <c r="E4" s="301"/>
      <c r="F4" s="301"/>
      <c r="G4" s="301"/>
      <c r="H4" s="558" t="s">
        <v>300</v>
      </c>
      <c r="I4" s="559"/>
      <c r="J4" s="148"/>
    </row>
    <row r="5" spans="1:10" s="47" customFormat="1" ht="12" customHeight="1" x14ac:dyDescent="0.2">
      <c r="A5" s="560" t="s">
        <v>145</v>
      </c>
      <c r="B5" s="562" t="s">
        <v>341</v>
      </c>
      <c r="C5" s="562" t="s">
        <v>345</v>
      </c>
      <c r="D5" s="562" t="s">
        <v>342</v>
      </c>
      <c r="E5" s="562" t="s">
        <v>346</v>
      </c>
      <c r="F5" s="562" t="s">
        <v>343</v>
      </c>
      <c r="G5" s="562" t="s">
        <v>347</v>
      </c>
      <c r="H5" s="553" t="s">
        <v>344</v>
      </c>
      <c r="I5" s="553" t="s">
        <v>348</v>
      </c>
      <c r="J5" s="75"/>
    </row>
    <row r="6" spans="1:10" s="47" customFormat="1" ht="51" customHeight="1" thickBot="1" x14ac:dyDescent="0.25">
      <c r="A6" s="561"/>
      <c r="B6" s="563"/>
      <c r="C6" s="563"/>
      <c r="D6" s="563"/>
      <c r="E6" s="563"/>
      <c r="F6" s="563"/>
      <c r="G6" s="563"/>
      <c r="H6" s="554"/>
      <c r="I6" s="554"/>
      <c r="J6" s="75"/>
    </row>
    <row r="7" spans="1:10" s="47" customFormat="1" ht="33.75" customHeight="1" thickBot="1" x14ac:dyDescent="0.3">
      <c r="A7" s="344" t="s">
        <v>112</v>
      </c>
      <c r="B7" s="170">
        <f>B8+B16</f>
        <v>711198261</v>
      </c>
      <c r="C7" s="170">
        <f>C8+C16+C15</f>
        <v>328498680</v>
      </c>
      <c r="D7" s="170">
        <f t="shared" ref="D7:G7" si="0">D8+D16</f>
        <v>9705467</v>
      </c>
      <c r="E7" s="170">
        <f t="shared" si="0"/>
        <v>0</v>
      </c>
      <c r="F7" s="170">
        <f>F8+F16</f>
        <v>0</v>
      </c>
      <c r="G7" s="170">
        <f t="shared" si="0"/>
        <v>0</v>
      </c>
      <c r="H7" s="170">
        <f>F7+D7+B7</f>
        <v>720903728</v>
      </c>
      <c r="I7" s="343">
        <f>G7+E7+C7</f>
        <v>328498680</v>
      </c>
      <c r="J7" s="75"/>
    </row>
    <row r="8" spans="1:10" s="47" customFormat="1" ht="33.75" customHeight="1" x14ac:dyDescent="0.25">
      <c r="A8" s="168" t="s">
        <v>117</v>
      </c>
      <c r="B8" s="342">
        <f>SUM(B9:B13)</f>
        <v>283375228</v>
      </c>
      <c r="C8" s="342">
        <f>SUM(C9:C13)</f>
        <v>296230251</v>
      </c>
      <c r="D8" s="342">
        <f t="shared" ref="D8:G8" si="1">SUM(D9:D13)</f>
        <v>0</v>
      </c>
      <c r="E8" s="342">
        <f t="shared" si="1"/>
        <v>0</v>
      </c>
      <c r="F8" s="342">
        <f t="shared" si="1"/>
        <v>0</v>
      </c>
      <c r="G8" s="342">
        <f t="shared" si="1"/>
        <v>0</v>
      </c>
      <c r="H8" s="342">
        <f t="shared" ref="H8:I33" si="2">F8+D8+B8</f>
        <v>283375228</v>
      </c>
      <c r="I8" s="342">
        <f t="shared" si="2"/>
        <v>296230251</v>
      </c>
      <c r="J8" s="75"/>
    </row>
    <row r="9" spans="1:10" s="47" customFormat="1" ht="36" customHeight="1" x14ac:dyDescent="0.25">
      <c r="A9" s="331" t="s">
        <v>113</v>
      </c>
      <c r="B9" s="171">
        <v>179789816</v>
      </c>
      <c r="C9" s="171">
        <v>176846893</v>
      </c>
      <c r="D9" s="335">
        <v>0</v>
      </c>
      <c r="E9" s="172"/>
      <c r="F9" s="172">
        <v>0</v>
      </c>
      <c r="G9" s="200"/>
      <c r="H9" s="342">
        <f t="shared" si="2"/>
        <v>179789816</v>
      </c>
      <c r="I9" s="342">
        <f t="shared" si="2"/>
        <v>176846893</v>
      </c>
      <c r="J9" s="75"/>
    </row>
    <row r="10" spans="1:10" s="47" customFormat="1" ht="46.5" customHeight="1" x14ac:dyDescent="0.25">
      <c r="A10" s="331" t="s">
        <v>258</v>
      </c>
      <c r="B10" s="173">
        <v>70536434</v>
      </c>
      <c r="C10" s="173">
        <v>93354563</v>
      </c>
      <c r="D10" s="335">
        <v>0</v>
      </c>
      <c r="E10" s="172"/>
      <c r="F10" s="172">
        <v>0</v>
      </c>
      <c r="G10" s="200"/>
      <c r="H10" s="166">
        <f t="shared" si="2"/>
        <v>70536434</v>
      </c>
      <c r="I10" s="166">
        <f t="shared" si="2"/>
        <v>93354563</v>
      </c>
      <c r="J10" s="75"/>
    </row>
    <row r="11" spans="1:10" s="47" customFormat="1" ht="40.5" customHeight="1" x14ac:dyDescent="0.25">
      <c r="A11" s="331" t="s">
        <v>114</v>
      </c>
      <c r="B11" s="173">
        <v>7275694</v>
      </c>
      <c r="C11" s="173">
        <v>6674085</v>
      </c>
      <c r="D11" s="336">
        <v>0</v>
      </c>
      <c r="E11" s="174"/>
      <c r="F11" s="174">
        <v>0</v>
      </c>
      <c r="G11" s="201"/>
      <c r="H11" s="166">
        <f t="shared" si="2"/>
        <v>7275694</v>
      </c>
      <c r="I11" s="166">
        <f t="shared" si="2"/>
        <v>6674085</v>
      </c>
      <c r="J11" s="75"/>
    </row>
    <row r="12" spans="1:10" s="47" customFormat="1" ht="51.75" customHeight="1" x14ac:dyDescent="0.25">
      <c r="A12" s="331" t="s">
        <v>116</v>
      </c>
      <c r="B12" s="173">
        <v>25773284</v>
      </c>
      <c r="C12" s="173">
        <v>19354710</v>
      </c>
      <c r="D12" s="336">
        <v>0</v>
      </c>
      <c r="E12" s="174"/>
      <c r="F12" s="174">
        <v>0</v>
      </c>
      <c r="G12" s="201"/>
      <c r="H12" s="166">
        <f t="shared" si="2"/>
        <v>25773284</v>
      </c>
      <c r="I12" s="166">
        <f t="shared" si="2"/>
        <v>19354710</v>
      </c>
      <c r="J12" s="75"/>
    </row>
    <row r="13" spans="1:10" s="47" customFormat="1" ht="66" customHeight="1" x14ac:dyDescent="0.25">
      <c r="A13" s="331" t="s">
        <v>115</v>
      </c>
      <c r="B13" s="173"/>
      <c r="C13" s="173"/>
      <c r="D13" s="336">
        <v>0</v>
      </c>
      <c r="E13" s="174"/>
      <c r="F13" s="174">
        <v>0</v>
      </c>
      <c r="G13" s="201"/>
      <c r="H13" s="166">
        <f t="shared" si="2"/>
        <v>0</v>
      </c>
      <c r="I13" s="166">
        <f t="shared" si="2"/>
        <v>0</v>
      </c>
      <c r="J13" s="75"/>
    </row>
    <row r="14" spans="1:10" s="131" customFormat="1" ht="66" customHeight="1" x14ac:dyDescent="0.25">
      <c r="A14" s="332" t="s">
        <v>277</v>
      </c>
      <c r="B14" s="341">
        <v>0</v>
      </c>
      <c r="C14" s="341"/>
      <c r="D14" s="337">
        <v>0</v>
      </c>
      <c r="E14" s="176"/>
      <c r="F14" s="176">
        <v>0</v>
      </c>
      <c r="G14" s="202"/>
      <c r="H14" s="288">
        <f t="shared" si="2"/>
        <v>0</v>
      </c>
      <c r="I14" s="166">
        <f t="shared" si="2"/>
        <v>0</v>
      </c>
      <c r="J14" s="130"/>
    </row>
    <row r="15" spans="1:10" s="131" customFormat="1" ht="66" customHeight="1" x14ac:dyDescent="0.25">
      <c r="A15" s="332" t="s">
        <v>318</v>
      </c>
      <c r="B15" s="175">
        <v>0</v>
      </c>
      <c r="C15" s="175"/>
      <c r="D15" s="337"/>
      <c r="E15" s="176"/>
      <c r="F15" s="176"/>
      <c r="G15" s="202"/>
      <c r="H15" s="397"/>
      <c r="I15" s="166">
        <f t="shared" si="2"/>
        <v>0</v>
      </c>
      <c r="J15" s="130"/>
    </row>
    <row r="16" spans="1:10" s="131" customFormat="1" ht="58.5" customHeight="1" thickBot="1" x14ac:dyDescent="0.3">
      <c r="A16" s="332" t="s">
        <v>222</v>
      </c>
      <c r="B16" s="175">
        <v>427823033</v>
      </c>
      <c r="C16" s="175">
        <v>32268429</v>
      </c>
      <c r="D16" s="337">
        <v>9705467</v>
      </c>
      <c r="E16" s="176"/>
      <c r="F16" s="176"/>
      <c r="G16" s="202"/>
      <c r="H16" s="177">
        <f t="shared" si="2"/>
        <v>437528500</v>
      </c>
      <c r="I16" s="177">
        <f t="shared" si="2"/>
        <v>32268429</v>
      </c>
      <c r="J16" s="130"/>
    </row>
    <row r="17" spans="1:17" s="133" customFormat="1" ht="41.25" customHeight="1" thickBot="1" x14ac:dyDescent="0.3">
      <c r="A17" s="333" t="s">
        <v>118</v>
      </c>
      <c r="B17" s="169">
        <f t="shared" ref="B17:G17" si="3">SUM(B18:B19)</f>
        <v>671697561</v>
      </c>
      <c r="C17" s="170">
        <f>SUM(C18:C19)</f>
        <v>1502501030</v>
      </c>
      <c r="D17" s="170">
        <f t="shared" si="3"/>
        <v>0</v>
      </c>
      <c r="E17" s="170">
        <f t="shared" si="3"/>
        <v>0</v>
      </c>
      <c r="F17" s="170">
        <f t="shared" si="3"/>
        <v>0</v>
      </c>
      <c r="G17" s="170">
        <f t="shared" si="3"/>
        <v>0</v>
      </c>
      <c r="H17" s="170">
        <f t="shared" si="2"/>
        <v>671697561</v>
      </c>
      <c r="I17" s="343">
        <f t="shared" si="2"/>
        <v>1502501030</v>
      </c>
      <c r="J17" s="132"/>
    </row>
    <row r="18" spans="1:17" s="47" customFormat="1" ht="43.5" x14ac:dyDescent="0.25">
      <c r="A18" s="334" t="s">
        <v>180</v>
      </c>
      <c r="B18" s="171">
        <v>16999999</v>
      </c>
      <c r="C18" s="171"/>
      <c r="D18" s="172">
        <v>0</v>
      </c>
      <c r="E18" s="172"/>
      <c r="F18" s="172">
        <v>0</v>
      </c>
      <c r="G18" s="172"/>
      <c r="H18" s="342">
        <f t="shared" si="2"/>
        <v>16999999</v>
      </c>
      <c r="I18" s="342">
        <f t="shared" si="2"/>
        <v>0</v>
      </c>
      <c r="J18" s="75"/>
    </row>
    <row r="19" spans="1:17" s="47" customFormat="1" ht="48.75" customHeight="1" thickBot="1" x14ac:dyDescent="0.3">
      <c r="A19" s="346" t="s">
        <v>119</v>
      </c>
      <c r="B19" s="178">
        <v>654697562</v>
      </c>
      <c r="C19" s="178">
        <v>1502501030</v>
      </c>
      <c r="D19" s="179">
        <v>0</v>
      </c>
      <c r="E19" s="179"/>
      <c r="F19" s="179">
        <v>0</v>
      </c>
      <c r="G19" s="179"/>
      <c r="H19" s="177">
        <f t="shared" si="2"/>
        <v>654697562</v>
      </c>
      <c r="I19" s="177">
        <f>G19+E19+C19</f>
        <v>1502501030</v>
      </c>
      <c r="J19" s="75"/>
    </row>
    <row r="20" spans="1:17" s="98" customFormat="1" ht="45" customHeight="1" thickBot="1" x14ac:dyDescent="0.3">
      <c r="A20" s="375" t="s">
        <v>105</v>
      </c>
      <c r="B20" s="347">
        <f t="shared" ref="B20:G20" si="4">B22+B23+B26+B21</f>
        <v>98637447</v>
      </c>
      <c r="C20" s="347">
        <f t="shared" si="4"/>
        <v>97402000</v>
      </c>
      <c r="D20" s="347">
        <f t="shared" si="4"/>
        <v>0</v>
      </c>
      <c r="E20" s="347">
        <f t="shared" si="4"/>
        <v>0</v>
      </c>
      <c r="F20" s="347">
        <f t="shared" si="4"/>
        <v>0</v>
      </c>
      <c r="G20" s="347">
        <f t="shared" si="4"/>
        <v>0</v>
      </c>
      <c r="H20" s="340">
        <f t="shared" si="2"/>
        <v>98637447</v>
      </c>
      <c r="I20" s="345">
        <f t="shared" si="2"/>
        <v>97402000</v>
      </c>
      <c r="J20" s="97"/>
    </row>
    <row r="21" spans="1:17" s="98" customFormat="1" ht="45" customHeight="1" thickBot="1" x14ac:dyDescent="0.3">
      <c r="A21" s="377" t="s">
        <v>301</v>
      </c>
      <c r="B21" s="431">
        <v>0</v>
      </c>
      <c r="C21" s="347"/>
      <c r="D21" s="347">
        <v>0</v>
      </c>
      <c r="E21" s="347"/>
      <c r="F21" s="347">
        <v>0</v>
      </c>
      <c r="G21" s="347"/>
      <c r="H21" s="340">
        <f t="shared" si="2"/>
        <v>0</v>
      </c>
      <c r="I21" s="345"/>
      <c r="J21" s="97"/>
    </row>
    <row r="22" spans="1:17" s="131" customFormat="1" ht="36" customHeight="1" x14ac:dyDescent="0.25">
      <c r="A22" s="378" t="s">
        <v>106</v>
      </c>
      <c r="B22" s="432">
        <v>12562748</v>
      </c>
      <c r="C22" s="350">
        <v>12510000</v>
      </c>
      <c r="D22" s="351">
        <v>0</v>
      </c>
      <c r="E22" s="351"/>
      <c r="F22" s="351">
        <v>0</v>
      </c>
      <c r="G22" s="351"/>
      <c r="H22" s="352">
        <f t="shared" si="2"/>
        <v>12562748</v>
      </c>
      <c r="I22" s="353">
        <f t="shared" si="2"/>
        <v>12510000</v>
      </c>
      <c r="J22" s="130"/>
    </row>
    <row r="23" spans="1:17" s="131" customFormat="1" ht="46.5" customHeight="1" x14ac:dyDescent="0.25">
      <c r="A23" s="378" t="s">
        <v>107</v>
      </c>
      <c r="B23" s="181">
        <f>SUM(B24:B25)</f>
        <v>78990549</v>
      </c>
      <c r="C23" s="181">
        <f>SUM(C24:C25)</f>
        <v>77833000</v>
      </c>
      <c r="D23" s="181">
        <f>SUM(D24:D25)</f>
        <v>0</v>
      </c>
      <c r="E23" s="181">
        <f>SUM(E24:E25)</f>
        <v>0</v>
      </c>
      <c r="F23" s="181">
        <v>0</v>
      </c>
      <c r="G23" s="181">
        <f>SUM(G24:G25)</f>
        <v>0</v>
      </c>
      <c r="H23" s="166">
        <f t="shared" si="2"/>
        <v>78990549</v>
      </c>
      <c r="I23" s="354">
        <f t="shared" si="2"/>
        <v>77833000</v>
      </c>
      <c r="J23" s="130"/>
    </row>
    <row r="24" spans="1:17" s="131" customFormat="1" ht="67.5" customHeight="1" x14ac:dyDescent="0.25">
      <c r="A24" s="379" t="s">
        <v>108</v>
      </c>
      <c r="B24" s="433">
        <v>69403671</v>
      </c>
      <c r="C24" s="181">
        <v>68320000</v>
      </c>
      <c r="D24" s="348">
        <v>0</v>
      </c>
      <c r="E24" s="348"/>
      <c r="F24" s="348">
        <v>0</v>
      </c>
      <c r="G24" s="348"/>
      <c r="H24" s="166">
        <f t="shared" si="2"/>
        <v>69403671</v>
      </c>
      <c r="I24" s="354">
        <f t="shared" si="2"/>
        <v>68320000</v>
      </c>
      <c r="J24" s="130"/>
    </row>
    <row r="25" spans="1:17" s="47" customFormat="1" ht="24.75" customHeight="1" x14ac:dyDescent="0.25">
      <c r="A25" s="379" t="s">
        <v>109</v>
      </c>
      <c r="B25" s="434">
        <v>9586878</v>
      </c>
      <c r="C25" s="349">
        <v>9513000</v>
      </c>
      <c r="D25" s="187">
        <v>0</v>
      </c>
      <c r="E25" s="187"/>
      <c r="F25" s="187">
        <v>0</v>
      </c>
      <c r="G25" s="187"/>
      <c r="H25" s="166">
        <f t="shared" si="2"/>
        <v>9586878</v>
      </c>
      <c r="I25" s="354">
        <f t="shared" si="2"/>
        <v>9513000</v>
      </c>
      <c r="J25" s="75"/>
    </row>
    <row r="26" spans="1:17" s="131" customFormat="1" ht="44.25" thickBot="1" x14ac:dyDescent="0.3">
      <c r="A26" s="380" t="s">
        <v>406</v>
      </c>
      <c r="B26" s="435">
        <v>7084150</v>
      </c>
      <c r="C26" s="175">
        <v>7059000</v>
      </c>
      <c r="D26" s="176">
        <v>0</v>
      </c>
      <c r="E26" s="176"/>
      <c r="F26" s="182">
        <v>0</v>
      </c>
      <c r="G26" s="182"/>
      <c r="H26" s="177">
        <f t="shared" si="2"/>
        <v>7084150</v>
      </c>
      <c r="I26" s="338">
        <f t="shared" si="2"/>
        <v>7059000</v>
      </c>
      <c r="J26" s="130"/>
    </row>
    <row r="27" spans="1:17" s="47" customFormat="1" ht="38.25" customHeight="1" thickBot="1" x14ac:dyDescent="0.3">
      <c r="A27" s="376" t="s">
        <v>110</v>
      </c>
      <c r="B27" s="339">
        <v>93536938</v>
      </c>
      <c r="C27" s="340">
        <v>74911947</v>
      </c>
      <c r="D27" s="340">
        <v>314119</v>
      </c>
      <c r="E27" s="340">
        <v>276200</v>
      </c>
      <c r="F27" s="340">
        <v>713902</v>
      </c>
      <c r="G27" s="340">
        <v>688000</v>
      </c>
      <c r="H27" s="340">
        <f t="shared" si="2"/>
        <v>94564959</v>
      </c>
      <c r="I27" s="345">
        <f t="shared" si="2"/>
        <v>75876147</v>
      </c>
      <c r="J27" s="75"/>
    </row>
    <row r="28" spans="1:17" ht="32.25" customHeight="1" thickBot="1" x14ac:dyDescent="0.3">
      <c r="A28" s="167" t="s">
        <v>111</v>
      </c>
      <c r="B28" s="169">
        <v>53514945</v>
      </c>
      <c r="C28" s="170">
        <v>21112694</v>
      </c>
      <c r="D28" s="355">
        <v>9937</v>
      </c>
      <c r="E28" s="355">
        <f>SUM(E30:E31)</f>
        <v>0</v>
      </c>
      <c r="F28" s="355">
        <v>0</v>
      </c>
      <c r="G28" s="355">
        <f>SUM(G30:G31)</f>
        <v>0</v>
      </c>
      <c r="H28" s="170">
        <f t="shared" si="2"/>
        <v>53524882</v>
      </c>
      <c r="I28" s="343">
        <f t="shared" si="2"/>
        <v>21112694</v>
      </c>
      <c r="J28" s="148"/>
    </row>
    <row r="29" spans="1:17" ht="32.25" customHeight="1" thickBot="1" x14ac:dyDescent="0.3">
      <c r="A29" s="356" t="s">
        <v>129</v>
      </c>
      <c r="B29" s="170">
        <v>13653774</v>
      </c>
      <c r="C29" s="170">
        <v>17224731</v>
      </c>
      <c r="D29" s="355">
        <v>0</v>
      </c>
      <c r="E29" s="355"/>
      <c r="F29" s="355"/>
      <c r="G29" s="357"/>
      <c r="H29" s="170">
        <f t="shared" si="2"/>
        <v>13653774</v>
      </c>
      <c r="I29" s="343">
        <f t="shared" si="2"/>
        <v>17224731</v>
      </c>
      <c r="J29" s="148"/>
    </row>
    <row r="30" spans="1:17" s="47" customFormat="1" ht="48.75" customHeight="1" thickBot="1" x14ac:dyDescent="0.3">
      <c r="A30" s="356" t="s">
        <v>120</v>
      </c>
      <c r="B30" s="170">
        <v>0</v>
      </c>
      <c r="C30" s="170">
        <f t="shared" ref="C30:G30" si="5">SUM(C31:C32)</f>
        <v>0</v>
      </c>
      <c r="D30" s="170">
        <f t="shared" si="5"/>
        <v>0</v>
      </c>
      <c r="E30" s="170">
        <f t="shared" si="5"/>
        <v>0</v>
      </c>
      <c r="F30" s="170">
        <f t="shared" si="5"/>
        <v>0</v>
      </c>
      <c r="G30" s="170">
        <f t="shared" si="5"/>
        <v>0</v>
      </c>
      <c r="H30" s="170">
        <f t="shared" si="2"/>
        <v>0</v>
      </c>
      <c r="I30" s="343">
        <f t="shared" si="2"/>
        <v>0</v>
      </c>
      <c r="J30" s="75"/>
    </row>
    <row r="31" spans="1:17" s="47" customFormat="1" ht="63.75" customHeight="1" x14ac:dyDescent="0.25">
      <c r="A31" s="358" t="s">
        <v>282</v>
      </c>
      <c r="B31" s="171">
        <v>0</v>
      </c>
      <c r="C31" s="171"/>
      <c r="D31" s="172">
        <v>0</v>
      </c>
      <c r="E31" s="172"/>
      <c r="F31" s="172"/>
      <c r="G31" s="200"/>
      <c r="H31" s="342">
        <f t="shared" si="2"/>
        <v>0</v>
      </c>
      <c r="I31" s="342">
        <f t="shared" si="2"/>
        <v>0</v>
      </c>
      <c r="J31" s="75"/>
      <c r="Q31" s="330"/>
    </row>
    <row r="32" spans="1:17" s="47" customFormat="1" ht="48.75" customHeight="1" x14ac:dyDescent="0.25">
      <c r="A32" s="180" t="s">
        <v>283</v>
      </c>
      <c r="B32" s="173">
        <v>0</v>
      </c>
      <c r="C32" s="173"/>
      <c r="D32" s="174">
        <v>0</v>
      </c>
      <c r="E32" s="174"/>
      <c r="F32" s="174"/>
      <c r="G32" s="200"/>
      <c r="H32" s="166">
        <f t="shared" si="2"/>
        <v>0</v>
      </c>
      <c r="I32" s="342">
        <f t="shared" si="2"/>
        <v>0</v>
      </c>
      <c r="J32" s="75"/>
    </row>
    <row r="33" spans="1:10" s="50" customFormat="1" ht="40.5" customHeight="1" thickBot="1" x14ac:dyDescent="0.3">
      <c r="A33" s="184" t="s">
        <v>130</v>
      </c>
      <c r="B33" s="137">
        <f t="shared" ref="B33:G33" si="6">B7+B17+B20+B30+B29+B27+B28</f>
        <v>1642238926</v>
      </c>
      <c r="C33" s="137">
        <f t="shared" si="6"/>
        <v>2041651082</v>
      </c>
      <c r="D33" s="137">
        <f t="shared" si="6"/>
        <v>10029523</v>
      </c>
      <c r="E33" s="137">
        <f t="shared" si="6"/>
        <v>276200</v>
      </c>
      <c r="F33" s="137">
        <f t="shared" si="6"/>
        <v>713902</v>
      </c>
      <c r="G33" s="138">
        <f t="shared" si="6"/>
        <v>688000</v>
      </c>
      <c r="H33" s="166">
        <f t="shared" si="2"/>
        <v>1652982351</v>
      </c>
      <c r="I33" s="166">
        <f t="shared" si="2"/>
        <v>2042615282</v>
      </c>
      <c r="J33" s="302"/>
    </row>
    <row r="34" spans="1:10" s="50" customFormat="1" ht="21.75" customHeight="1" thickBot="1" x14ac:dyDescent="0.3">
      <c r="A34" s="555" t="s">
        <v>128</v>
      </c>
      <c r="B34" s="556"/>
      <c r="C34" s="556"/>
      <c r="D34" s="556"/>
      <c r="E34" s="556"/>
      <c r="F34" s="556"/>
      <c r="G34" s="556"/>
      <c r="H34" s="556"/>
      <c r="I34" s="557"/>
      <c r="J34" s="302"/>
    </row>
    <row r="35" spans="1:10" ht="46.5" customHeight="1" thickBot="1" x14ac:dyDescent="0.3">
      <c r="A35" s="185" t="s">
        <v>127</v>
      </c>
      <c r="B35" s="183">
        <f>B36</f>
        <v>1164274652</v>
      </c>
      <c r="C35" s="398">
        <f>C36</f>
        <v>250563012</v>
      </c>
      <c r="D35" s="183">
        <f t="shared" ref="D35:G35" si="7">D36+D44</f>
        <v>135692313</v>
      </c>
      <c r="E35" s="183">
        <f t="shared" si="7"/>
        <v>0</v>
      </c>
      <c r="F35" s="183">
        <f t="shared" si="7"/>
        <v>10438395</v>
      </c>
      <c r="G35" s="183">
        <f t="shared" si="7"/>
        <v>0</v>
      </c>
      <c r="H35" s="81">
        <f>H36</f>
        <v>1310405360</v>
      </c>
      <c r="I35" s="81">
        <f>I36</f>
        <v>250563012</v>
      </c>
      <c r="J35" s="148"/>
    </row>
    <row r="36" spans="1:10" s="57" customFormat="1" ht="33" customHeight="1" thickBot="1" x14ac:dyDescent="0.3">
      <c r="A36" s="372" t="s">
        <v>121</v>
      </c>
      <c r="B36" s="364">
        <f>B37+B40+B45+B44+B43</f>
        <v>1164274652</v>
      </c>
      <c r="C36" s="364">
        <f>C37+C40+C45+C44+C43</f>
        <v>250563012</v>
      </c>
      <c r="D36" s="186">
        <f t="shared" ref="D36:G36" si="8">D37+D40+D45+D43</f>
        <v>135692313</v>
      </c>
      <c r="E36" s="186">
        <f t="shared" si="8"/>
        <v>0</v>
      </c>
      <c r="F36" s="186">
        <f>F37+F40+F45+F43</f>
        <v>10438395</v>
      </c>
      <c r="G36" s="365">
        <f t="shared" si="8"/>
        <v>0</v>
      </c>
      <c r="H36" s="360">
        <f>D36+B36+F36</f>
        <v>1310405360</v>
      </c>
      <c r="I36" s="361">
        <f>E36+C36+G36</f>
        <v>250563012</v>
      </c>
      <c r="J36" s="134"/>
    </row>
    <row r="37" spans="1:10" ht="33" customHeight="1" thickBot="1" x14ac:dyDescent="0.3">
      <c r="A37" s="193" t="s">
        <v>122</v>
      </c>
      <c r="B37" s="371">
        <f t="shared" ref="B37:G37" si="9">SUM(B38:B39)</f>
        <v>48633958</v>
      </c>
      <c r="C37" s="371">
        <f t="shared" si="9"/>
        <v>97249817</v>
      </c>
      <c r="D37" s="187">
        <f t="shared" si="9"/>
        <v>0</v>
      </c>
      <c r="E37" s="187">
        <f t="shared" si="9"/>
        <v>0</v>
      </c>
      <c r="F37" s="187">
        <f t="shared" si="9"/>
        <v>0</v>
      </c>
      <c r="G37" s="367">
        <f t="shared" si="9"/>
        <v>0</v>
      </c>
      <c r="H37" s="359">
        <f t="shared" ref="H37:I45" si="10">D37+B37+F37</f>
        <v>48633958</v>
      </c>
      <c r="I37" s="540">
        <f t="shared" si="10"/>
        <v>97249817</v>
      </c>
      <c r="J37" s="381"/>
    </row>
    <row r="38" spans="1:10" ht="33" customHeight="1" thickBot="1" x14ac:dyDescent="0.3">
      <c r="A38" s="373" t="s">
        <v>223</v>
      </c>
      <c r="B38" s="366">
        <v>48633958</v>
      </c>
      <c r="C38" s="187">
        <f>56729897+40519920</f>
        <v>97249817</v>
      </c>
      <c r="D38" s="187">
        <v>0</v>
      </c>
      <c r="E38" s="187"/>
      <c r="F38" s="188">
        <v>0</v>
      </c>
      <c r="G38" s="368"/>
      <c r="H38" s="359">
        <f t="shared" si="10"/>
        <v>48633958</v>
      </c>
      <c r="I38" s="540">
        <f t="shared" si="10"/>
        <v>97249817</v>
      </c>
      <c r="J38" s="148"/>
    </row>
    <row r="39" spans="1:10" ht="33" customHeight="1" thickBot="1" x14ac:dyDescent="0.3">
      <c r="A39" s="362" t="s">
        <v>224</v>
      </c>
      <c r="B39" s="366">
        <v>0</v>
      </c>
      <c r="C39" s="187"/>
      <c r="D39" s="187">
        <v>0</v>
      </c>
      <c r="E39" s="187"/>
      <c r="F39" s="188">
        <v>0</v>
      </c>
      <c r="G39" s="368"/>
      <c r="H39" s="359">
        <f t="shared" si="10"/>
        <v>0</v>
      </c>
      <c r="I39" s="129">
        <f t="shared" si="10"/>
        <v>0</v>
      </c>
      <c r="J39" s="148"/>
    </row>
    <row r="40" spans="1:10" s="57" customFormat="1" ht="33" customHeight="1" thickBot="1" x14ac:dyDescent="0.3">
      <c r="A40" s="363" t="s">
        <v>123</v>
      </c>
      <c r="B40" s="348">
        <v>1052470843</v>
      </c>
      <c r="C40" s="348">
        <f>SUM(C41:C42)</f>
        <v>153313195</v>
      </c>
      <c r="D40" s="348">
        <f>SUM(D41:D42)+D44</f>
        <v>0</v>
      </c>
      <c r="E40" s="348">
        <f>SUM(E41:E42)+E44</f>
        <v>0</v>
      </c>
      <c r="F40" s="348">
        <v>11259</v>
      </c>
      <c r="G40" s="348">
        <f>SUM(G41:G42)+G44</f>
        <v>0</v>
      </c>
      <c r="H40" s="359">
        <f>D40+B40+F40</f>
        <v>1052482102</v>
      </c>
      <c r="I40" s="129">
        <f>E40+C40+G40</f>
        <v>153313195</v>
      </c>
      <c r="J40" s="134"/>
    </row>
    <row r="41" spans="1:10" s="135" customFormat="1" ht="33" customHeight="1" thickBot="1" x14ac:dyDescent="0.3">
      <c r="A41" s="362" t="s">
        <v>125</v>
      </c>
      <c r="B41" s="388"/>
      <c r="C41" s="187">
        <v>101144895</v>
      </c>
      <c r="D41" s="390"/>
      <c r="E41" s="190"/>
      <c r="F41" s="191">
        <v>0</v>
      </c>
      <c r="G41" s="369"/>
      <c r="H41" s="359">
        <f t="shared" si="10"/>
        <v>0</v>
      </c>
      <c r="I41" s="129">
        <f t="shared" si="10"/>
        <v>101144895</v>
      </c>
      <c r="J41" s="303"/>
    </row>
    <row r="42" spans="1:10" ht="36.75" customHeight="1" thickBot="1" x14ac:dyDescent="0.3">
      <c r="A42" s="362" t="s">
        <v>124</v>
      </c>
      <c r="B42" s="389"/>
      <c r="C42" s="189">
        <v>52168300</v>
      </c>
      <c r="D42" s="391"/>
      <c r="E42" s="189"/>
      <c r="F42" s="192">
        <v>0</v>
      </c>
      <c r="G42" s="370"/>
      <c r="H42" s="359">
        <f>D42+B42+F42</f>
        <v>0</v>
      </c>
      <c r="I42" s="81">
        <f t="shared" si="10"/>
        <v>52168300</v>
      </c>
      <c r="J42" s="381"/>
    </row>
    <row r="43" spans="1:10" s="57" customFormat="1" ht="36.75" customHeight="1" thickBot="1" x14ac:dyDescent="0.3">
      <c r="A43" s="247" t="s">
        <v>225</v>
      </c>
      <c r="B43" s="245">
        <v>0</v>
      </c>
      <c r="C43" s="246"/>
      <c r="D43" s="245">
        <v>0</v>
      </c>
      <c r="E43" s="246"/>
      <c r="F43" s="243">
        <v>0</v>
      </c>
      <c r="G43" s="244"/>
      <c r="H43" s="81">
        <f>D43+B43+F43</f>
        <v>0</v>
      </c>
      <c r="I43" s="81">
        <f t="shared" si="10"/>
        <v>0</v>
      </c>
      <c r="J43" s="134"/>
    </row>
    <row r="44" spans="1:10" s="57" customFormat="1" ht="36.75" customHeight="1" thickBot="1" x14ac:dyDescent="0.3">
      <c r="A44" s="278" t="s">
        <v>259</v>
      </c>
      <c r="B44" s="279">
        <v>63169851</v>
      </c>
      <c r="C44" s="246"/>
      <c r="D44" s="245">
        <v>0</v>
      </c>
      <c r="E44" s="246"/>
      <c r="F44" s="243">
        <v>0</v>
      </c>
      <c r="G44" s="244"/>
      <c r="H44" s="81">
        <f>D44+B44+F44</f>
        <v>63169851</v>
      </c>
      <c r="I44" s="81">
        <f>E44+C44+G44</f>
        <v>0</v>
      </c>
      <c r="J44" s="134"/>
    </row>
    <row r="45" spans="1:10" ht="33" customHeight="1" thickBot="1" x14ac:dyDescent="0.3">
      <c r="A45" s="193" t="s">
        <v>126</v>
      </c>
      <c r="B45" s="194">
        <v>0</v>
      </c>
      <c r="C45" s="195"/>
      <c r="D45" s="194">
        <v>135692313</v>
      </c>
      <c r="E45" s="195"/>
      <c r="F45" s="196">
        <v>10427136</v>
      </c>
      <c r="G45" s="197"/>
      <c r="H45" s="81">
        <f t="shared" si="10"/>
        <v>146119449</v>
      </c>
      <c r="I45" s="81">
        <f t="shared" si="10"/>
        <v>0</v>
      </c>
      <c r="J45" s="148"/>
    </row>
    <row r="46" spans="1:10" x14ac:dyDescent="0.2">
      <c r="H46" s="82"/>
    </row>
    <row r="47" spans="1:10" x14ac:dyDescent="0.2">
      <c r="I47" s="84"/>
    </row>
    <row r="48" spans="1:10" x14ac:dyDescent="0.2">
      <c r="B48" s="82"/>
      <c r="C48" s="82"/>
      <c r="I48" s="84"/>
    </row>
    <row r="49" spans="3:9" ht="12.75" x14ac:dyDescent="0.2">
      <c r="C49" s="82"/>
      <c r="D49" s="82"/>
      <c r="E49" s="82"/>
      <c r="F49" s="82"/>
      <c r="G49" s="82"/>
      <c r="H49" s="82"/>
      <c r="I49" s="82"/>
    </row>
    <row r="50" spans="3:9" x14ac:dyDescent="0.2">
      <c r="C50" s="82"/>
    </row>
  </sheetData>
  <mergeCells count="12">
    <mergeCell ref="A1:I1"/>
    <mergeCell ref="H5:H6"/>
    <mergeCell ref="I5:I6"/>
    <mergeCell ref="A34:I34"/>
    <mergeCell ref="H4:I4"/>
    <mergeCell ref="A5:A6"/>
    <mergeCell ref="B5:B6"/>
    <mergeCell ref="C5:C6"/>
    <mergeCell ref="D5:D6"/>
    <mergeCell ref="E5:E6"/>
    <mergeCell ref="F5:F6"/>
    <mergeCell ref="G5:G6"/>
  </mergeCells>
  <phoneticPr fontId="28" type="noConversion"/>
  <pageMargins left="0.98425196850393704" right="0.19685039370078741" top="0.47244094488188981" bottom="0.39370078740157483" header="0.51181102362204722" footer="0.51181102362204722"/>
  <pageSetup paperSize="9" scale="55" orientation="portrait" r:id="rId1"/>
  <headerFooter alignWithMargins="0">
    <oddHeader>&amp;R1.sz. melléklet
..../2020.(III.03.) Egyek Önk.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Layout" topLeftCell="B1" zoomScaleNormal="110" workbookViewId="0">
      <selection activeCell="I27" sqref="I27"/>
    </sheetView>
  </sheetViews>
  <sheetFormatPr defaultRowHeight="12.75" x14ac:dyDescent="0.2"/>
  <cols>
    <col min="1" max="1" width="62.140625" customWidth="1"/>
    <col min="2" max="2" width="17" customWidth="1"/>
    <col min="3" max="3" width="18.5703125" style="381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564" t="s">
        <v>351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x14ac:dyDescent="0.2">
      <c r="A2" s="564"/>
      <c r="B2" s="564"/>
      <c r="C2" s="564"/>
      <c r="D2" s="564"/>
      <c r="E2" s="564"/>
      <c r="F2" s="564"/>
      <c r="G2" s="564"/>
      <c r="H2" s="564"/>
      <c r="I2" s="564"/>
      <c r="J2" s="564"/>
    </row>
    <row r="5" spans="1:10" ht="13.5" thickBot="1" x14ac:dyDescent="0.25"/>
    <row r="6" spans="1:10" ht="86.25" customHeight="1" thickBot="1" x14ac:dyDescent="0.25">
      <c r="A6" s="565" t="s">
        <v>133</v>
      </c>
      <c r="B6" s="399" t="s">
        <v>112</v>
      </c>
      <c r="C6" s="515" t="s">
        <v>118</v>
      </c>
      <c r="D6" s="399" t="s">
        <v>131</v>
      </c>
      <c r="E6" s="399" t="s">
        <v>110</v>
      </c>
      <c r="F6" s="399" t="s">
        <v>132</v>
      </c>
      <c r="G6" s="399" t="s">
        <v>129</v>
      </c>
      <c r="H6" s="399" t="s">
        <v>120</v>
      </c>
      <c r="I6" s="399" t="s">
        <v>127</v>
      </c>
      <c r="J6" s="400" t="s">
        <v>14</v>
      </c>
    </row>
    <row r="7" spans="1:10" ht="25.5" customHeight="1" thickBot="1" x14ac:dyDescent="0.25">
      <c r="A7" s="566"/>
      <c r="B7" s="497" t="s">
        <v>349</v>
      </c>
      <c r="C7" s="516" t="s">
        <v>349</v>
      </c>
      <c r="D7" s="497" t="s">
        <v>349</v>
      </c>
      <c r="E7" s="497" t="s">
        <v>349</v>
      </c>
      <c r="F7" s="497" t="s">
        <v>349</v>
      </c>
      <c r="G7" s="497" t="s">
        <v>349</v>
      </c>
      <c r="H7" s="497" t="s">
        <v>349</v>
      </c>
      <c r="I7" s="497" t="s">
        <v>349</v>
      </c>
      <c r="J7" s="99" t="s">
        <v>349</v>
      </c>
    </row>
    <row r="8" spans="1:10" s="248" customFormat="1" ht="27.75" customHeight="1" thickBot="1" x14ac:dyDescent="0.25">
      <c r="A8" s="289" t="s">
        <v>281</v>
      </c>
      <c r="B8" s="502"/>
      <c r="C8" s="504"/>
      <c r="D8" s="503"/>
      <c r="E8" s="504">
        <v>3234000</v>
      </c>
      <c r="F8" s="503"/>
      <c r="G8" s="503">
        <v>17224731</v>
      </c>
      <c r="H8" s="503"/>
      <c r="I8" s="505">
        <v>280320</v>
      </c>
      <c r="J8" s="495">
        <f>SUM(B8:I8)</f>
        <v>20739051</v>
      </c>
    </row>
    <row r="9" spans="1:10" ht="13.5" thickBot="1" x14ac:dyDescent="0.25">
      <c r="A9" s="251" t="s">
        <v>141</v>
      </c>
      <c r="B9" s="506"/>
      <c r="C9" s="198">
        <v>9556702</v>
      </c>
      <c r="D9" s="253"/>
      <c r="E9" s="198">
        <v>1396000</v>
      </c>
      <c r="F9" s="253"/>
      <c r="G9" s="198"/>
      <c r="H9" s="253"/>
      <c r="I9" s="507"/>
      <c r="J9" s="495">
        <f t="shared" ref="J9:J26" si="0">SUM(B9:I9)</f>
        <v>10952702</v>
      </c>
    </row>
    <row r="10" spans="1:10" ht="27.75" customHeight="1" thickBot="1" x14ac:dyDescent="0.25">
      <c r="A10" s="250" t="s">
        <v>134</v>
      </c>
      <c r="B10" s="508"/>
      <c r="C10" s="139"/>
      <c r="D10" s="139"/>
      <c r="E10" s="139">
        <v>34896007</v>
      </c>
      <c r="F10" s="139">
        <v>21112694</v>
      </c>
      <c r="G10" s="139"/>
      <c r="H10" s="139"/>
      <c r="I10" s="509">
        <v>29209760</v>
      </c>
      <c r="J10" s="495">
        <f t="shared" si="0"/>
        <v>85218461</v>
      </c>
    </row>
    <row r="11" spans="1:10" s="58" customFormat="1" ht="15.75" customHeight="1" thickBot="1" x14ac:dyDescent="0.25">
      <c r="A11" s="249" t="s">
        <v>136</v>
      </c>
      <c r="B11" s="508">
        <f>'bevétel 1.m. '!I8</f>
        <v>296230251</v>
      </c>
      <c r="C11" s="139"/>
      <c r="D11" s="139"/>
      <c r="E11" s="499"/>
      <c r="F11" s="139"/>
      <c r="G11" s="499"/>
      <c r="H11" s="499"/>
      <c r="I11" s="509">
        <v>10353836</v>
      </c>
      <c r="J11" s="495">
        <f t="shared" si="0"/>
        <v>306584087</v>
      </c>
    </row>
    <row r="12" spans="1:10" s="58" customFormat="1" ht="15.75" customHeight="1" thickBot="1" x14ac:dyDescent="0.25">
      <c r="A12" s="251" t="s">
        <v>352</v>
      </c>
      <c r="B12" s="508"/>
      <c r="C12" s="139"/>
      <c r="D12" s="139"/>
      <c r="E12" s="499"/>
      <c r="F12" s="139"/>
      <c r="G12" s="499"/>
      <c r="H12" s="499"/>
      <c r="I12" s="509">
        <v>2183606</v>
      </c>
      <c r="J12" s="495">
        <f t="shared" si="0"/>
        <v>2183606</v>
      </c>
    </row>
    <row r="13" spans="1:10" ht="13.5" thickBot="1" x14ac:dyDescent="0.25">
      <c r="A13" s="251" t="s">
        <v>140</v>
      </c>
      <c r="B13" s="506"/>
      <c r="C13" s="198"/>
      <c r="D13" s="253"/>
      <c r="E13" s="198">
        <v>18103400</v>
      </c>
      <c r="F13" s="253"/>
      <c r="G13" s="253"/>
      <c r="H13" s="253"/>
      <c r="I13" s="507">
        <v>65406585</v>
      </c>
      <c r="J13" s="495">
        <f t="shared" si="0"/>
        <v>83509985</v>
      </c>
    </row>
    <row r="14" spans="1:10" ht="15.75" customHeight="1" thickBot="1" x14ac:dyDescent="0.25">
      <c r="A14" s="250" t="s">
        <v>280</v>
      </c>
      <c r="B14" s="508"/>
      <c r="C14" s="139"/>
      <c r="D14" s="139"/>
      <c r="E14" s="139">
        <v>14860000</v>
      </c>
      <c r="F14" s="139"/>
      <c r="G14" s="139"/>
      <c r="H14" s="139"/>
      <c r="I14" s="509"/>
      <c r="J14" s="495">
        <f t="shared" si="0"/>
        <v>14860000</v>
      </c>
    </row>
    <row r="15" spans="1:10" ht="13.5" thickBot="1" x14ac:dyDescent="0.25">
      <c r="A15" s="249" t="s">
        <v>226</v>
      </c>
      <c r="B15" s="508"/>
      <c r="C15" s="139">
        <v>660692457</v>
      </c>
      <c r="D15" s="139"/>
      <c r="E15" s="139"/>
      <c r="F15" s="139"/>
      <c r="G15" s="139"/>
      <c r="H15" s="139"/>
      <c r="I15" s="509">
        <v>4009439</v>
      </c>
      <c r="J15" s="495">
        <f t="shared" si="0"/>
        <v>664701896</v>
      </c>
    </row>
    <row r="16" spans="1:10" ht="13.5" thickBot="1" x14ac:dyDescent="0.25">
      <c r="A16" s="249" t="s">
        <v>320</v>
      </c>
      <c r="B16" s="508"/>
      <c r="C16" s="139">
        <v>50636924</v>
      </c>
      <c r="D16" s="139"/>
      <c r="E16" s="139"/>
      <c r="F16" s="139"/>
      <c r="G16" s="139"/>
      <c r="H16" s="139"/>
      <c r="I16" s="509">
        <v>16668781</v>
      </c>
      <c r="J16" s="495">
        <f t="shared" si="0"/>
        <v>67305705</v>
      </c>
    </row>
    <row r="17" spans="1:10" ht="18" customHeight="1" thickBot="1" x14ac:dyDescent="0.25">
      <c r="A17" s="250" t="s">
        <v>287</v>
      </c>
      <c r="B17" s="508"/>
      <c r="C17" s="139">
        <v>774434019</v>
      </c>
      <c r="D17" s="139"/>
      <c r="E17" s="139"/>
      <c r="F17" s="139"/>
      <c r="G17" s="139"/>
      <c r="H17" s="139"/>
      <c r="I17" s="509"/>
      <c r="J17" s="495">
        <f t="shared" si="0"/>
        <v>774434019</v>
      </c>
    </row>
    <row r="18" spans="1:10" ht="13.5" thickBot="1" x14ac:dyDescent="0.25">
      <c r="A18" s="249" t="s">
        <v>135</v>
      </c>
      <c r="B18" s="508">
        <v>1024000</v>
      </c>
      <c r="C18" s="139"/>
      <c r="D18" s="139"/>
      <c r="E18" s="139">
        <v>110000</v>
      </c>
      <c r="F18" s="139"/>
      <c r="G18" s="139"/>
      <c r="H18" s="139"/>
      <c r="I18" s="509"/>
      <c r="J18" s="495">
        <f t="shared" si="0"/>
        <v>1134000</v>
      </c>
    </row>
    <row r="19" spans="1:10" ht="13.5" thickBot="1" x14ac:dyDescent="0.25">
      <c r="A19" s="251" t="s">
        <v>155</v>
      </c>
      <c r="B19" s="508"/>
      <c r="C19" s="139"/>
      <c r="D19" s="139"/>
      <c r="E19" s="139">
        <v>1540000</v>
      </c>
      <c r="F19" s="139"/>
      <c r="G19" s="139"/>
      <c r="H19" s="139"/>
      <c r="I19" s="509"/>
      <c r="J19" s="495">
        <f t="shared" si="0"/>
        <v>1540000</v>
      </c>
    </row>
    <row r="20" spans="1:10" ht="13.5" thickBot="1" x14ac:dyDescent="0.25">
      <c r="A20" s="251" t="s">
        <v>321</v>
      </c>
      <c r="B20" s="508"/>
      <c r="C20" s="139"/>
      <c r="D20" s="139"/>
      <c r="E20" s="139">
        <v>770000</v>
      </c>
      <c r="F20" s="139"/>
      <c r="G20" s="139"/>
      <c r="H20" s="139"/>
      <c r="I20" s="509"/>
      <c r="J20" s="495">
        <f t="shared" si="0"/>
        <v>770000</v>
      </c>
    </row>
    <row r="21" spans="1:10" s="50" customFormat="1" ht="13.5" thickBot="1" x14ac:dyDescent="0.25">
      <c r="A21" s="429" t="s">
        <v>142</v>
      </c>
      <c r="B21" s="510"/>
      <c r="C21" s="500"/>
      <c r="D21" s="501"/>
      <c r="E21" s="500"/>
      <c r="F21" s="501"/>
      <c r="G21" s="501"/>
      <c r="H21" s="501"/>
      <c r="I21" s="511">
        <v>2000000</v>
      </c>
      <c r="J21" s="496">
        <f t="shared" si="0"/>
        <v>2000000</v>
      </c>
    </row>
    <row r="22" spans="1:10" ht="13.5" thickBot="1" x14ac:dyDescent="0.25">
      <c r="A22" s="251" t="s">
        <v>353</v>
      </c>
      <c r="B22" s="506">
        <v>1769451</v>
      </c>
      <c r="C22" s="198"/>
      <c r="D22" s="253"/>
      <c r="E22" s="198"/>
      <c r="F22" s="253"/>
      <c r="G22" s="253"/>
      <c r="H22" s="253"/>
      <c r="I22" s="507"/>
      <c r="J22" s="495">
        <f t="shared" si="0"/>
        <v>1769451</v>
      </c>
    </row>
    <row r="23" spans="1:10" ht="13.5" thickBot="1" x14ac:dyDescent="0.25">
      <c r="A23" s="251" t="s">
        <v>139</v>
      </c>
      <c r="B23" s="506"/>
      <c r="C23" s="198"/>
      <c r="D23" s="253"/>
      <c r="E23" s="198">
        <v>2540</v>
      </c>
      <c r="F23" s="253"/>
      <c r="G23" s="253"/>
      <c r="H23" s="253"/>
      <c r="I23" s="507"/>
      <c r="J23" s="495">
        <f t="shared" si="0"/>
        <v>2540</v>
      </c>
    </row>
    <row r="24" spans="1:10" ht="13.5" thickBot="1" x14ac:dyDescent="0.25">
      <c r="A24" s="251" t="s">
        <v>361</v>
      </c>
      <c r="B24" s="506">
        <v>29474978</v>
      </c>
      <c r="C24" s="198">
        <v>7180928</v>
      </c>
      <c r="D24" s="253"/>
      <c r="E24" s="198"/>
      <c r="F24" s="253"/>
      <c r="G24" s="198"/>
      <c r="H24" s="253"/>
      <c r="I24" s="507">
        <v>23200868</v>
      </c>
      <c r="J24" s="495">
        <f>SUM(B24:I24)</f>
        <v>59856774</v>
      </c>
    </row>
    <row r="25" spans="1:10" ht="30" customHeight="1" thickBot="1" x14ac:dyDescent="0.25">
      <c r="A25" s="250" t="s">
        <v>137</v>
      </c>
      <c r="B25" s="508"/>
      <c r="C25" s="139"/>
      <c r="D25" s="139">
        <v>97402000</v>
      </c>
      <c r="E25" s="139"/>
      <c r="F25" s="139"/>
      <c r="G25" s="139"/>
      <c r="H25" s="139"/>
      <c r="I25" s="509"/>
      <c r="J25" s="495">
        <f t="shared" si="0"/>
        <v>97402000</v>
      </c>
    </row>
    <row r="26" spans="1:10" ht="13.5" thickBot="1" x14ac:dyDescent="0.25">
      <c r="A26" s="249" t="s">
        <v>138</v>
      </c>
      <c r="B26" s="512"/>
      <c r="C26" s="199"/>
      <c r="D26" s="513"/>
      <c r="E26" s="199"/>
      <c r="F26" s="513"/>
      <c r="G26" s="199"/>
      <c r="H26" s="513"/>
      <c r="I26" s="514">
        <f>'bevétel 1.m. '!I37</f>
        <v>97249817</v>
      </c>
      <c r="J26" s="495">
        <f t="shared" si="0"/>
        <v>97249817</v>
      </c>
    </row>
    <row r="27" spans="1:10" s="100" customFormat="1" ht="13.5" thickBot="1" x14ac:dyDescent="0.25">
      <c r="A27" s="252" t="s">
        <v>14</v>
      </c>
      <c r="B27" s="498">
        <f t="shared" ref="B27:J27" si="1">SUM(B8:B26)</f>
        <v>328498680</v>
      </c>
      <c r="C27" s="517">
        <f t="shared" si="1"/>
        <v>1502501030</v>
      </c>
      <c r="D27" s="518">
        <f t="shared" si="1"/>
        <v>97402000</v>
      </c>
      <c r="E27" s="518">
        <f t="shared" si="1"/>
        <v>74911947</v>
      </c>
      <c r="F27" s="518">
        <f t="shared" si="1"/>
        <v>21112694</v>
      </c>
      <c r="G27" s="518">
        <f t="shared" si="1"/>
        <v>17224731</v>
      </c>
      <c r="H27" s="518">
        <f t="shared" si="1"/>
        <v>0</v>
      </c>
      <c r="I27" s="518">
        <f t="shared" si="1"/>
        <v>250563012</v>
      </c>
      <c r="J27" s="401">
        <f t="shared" si="1"/>
        <v>2292214094</v>
      </c>
    </row>
    <row r="30" spans="1:10" x14ac:dyDescent="0.2">
      <c r="B30" s="381"/>
    </row>
    <row r="32" spans="1:10" x14ac:dyDescent="0.2">
      <c r="B32" s="381"/>
    </row>
  </sheetData>
  <mergeCells count="2">
    <mergeCell ref="A1:J2"/>
    <mergeCell ref="A6:A7"/>
  </mergeCells>
  <phoneticPr fontId="28" type="noConversion"/>
  <pageMargins left="0.75" right="0.75" top="1" bottom="1" header="0.5" footer="0.5"/>
  <pageSetup paperSize="9" scale="61" orientation="landscape" r:id="rId1"/>
  <headerFooter alignWithMargins="0">
    <oddHeader>&amp;R1/1.sz. melléklete
...../2020. (III.03.)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Layout" topLeftCell="B1" zoomScaleNormal="90" workbookViewId="0">
      <selection activeCell="C35" sqref="C35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564" t="s">
        <v>350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x14ac:dyDescent="0.2">
      <c r="A2" s="564"/>
      <c r="B2" s="564"/>
      <c r="C2" s="564"/>
      <c r="D2" s="564"/>
      <c r="E2" s="564"/>
      <c r="F2" s="564"/>
      <c r="G2" s="564"/>
      <c r="H2" s="564"/>
      <c r="I2" s="564"/>
      <c r="J2" s="564"/>
    </row>
    <row r="5" spans="1:10" ht="13.5" thickBot="1" x14ac:dyDescent="0.25"/>
    <row r="6" spans="1:10" ht="86.25" customHeight="1" thickBot="1" x14ac:dyDescent="0.25">
      <c r="A6" s="565" t="s">
        <v>133</v>
      </c>
      <c r="B6" s="399" t="s">
        <v>112</v>
      </c>
      <c r="C6" s="515" t="s">
        <v>118</v>
      </c>
      <c r="D6" s="399" t="s">
        <v>131</v>
      </c>
      <c r="E6" s="399" t="s">
        <v>110</v>
      </c>
      <c r="F6" s="399" t="s">
        <v>132</v>
      </c>
      <c r="G6" s="399" t="s">
        <v>129</v>
      </c>
      <c r="H6" s="399" t="s">
        <v>120</v>
      </c>
      <c r="I6" s="399" t="s">
        <v>127</v>
      </c>
      <c r="J6" s="400" t="s">
        <v>14</v>
      </c>
    </row>
    <row r="7" spans="1:10" ht="25.5" customHeight="1" thickBot="1" x14ac:dyDescent="0.25">
      <c r="A7" s="566"/>
      <c r="B7" s="497" t="s">
        <v>349</v>
      </c>
      <c r="C7" s="516" t="s">
        <v>349</v>
      </c>
      <c r="D7" s="497" t="s">
        <v>349</v>
      </c>
      <c r="E7" s="497" t="s">
        <v>349</v>
      </c>
      <c r="F7" s="497" t="s">
        <v>349</v>
      </c>
      <c r="G7" s="497" t="s">
        <v>349</v>
      </c>
      <c r="H7" s="497" t="s">
        <v>349</v>
      </c>
      <c r="I7" s="497" t="s">
        <v>349</v>
      </c>
      <c r="J7" s="99" t="s">
        <v>349</v>
      </c>
    </row>
    <row r="8" spans="1:10" s="248" customFormat="1" ht="27.75" customHeight="1" thickBot="1" x14ac:dyDescent="0.25">
      <c r="A8" s="289" t="s">
        <v>281</v>
      </c>
      <c r="B8" s="502"/>
      <c r="C8" s="504"/>
      <c r="D8" s="503"/>
      <c r="E8" s="504">
        <v>3234000</v>
      </c>
      <c r="F8" s="503"/>
      <c r="G8" s="503">
        <v>17224731</v>
      </c>
      <c r="H8" s="503"/>
      <c r="I8" s="505">
        <v>280320</v>
      </c>
      <c r="J8" s="495">
        <f>SUM(B8:I8)</f>
        <v>20739051</v>
      </c>
    </row>
    <row r="9" spans="1:10" ht="13.5" thickBot="1" x14ac:dyDescent="0.25">
      <c r="A9" s="251" t="s">
        <v>141</v>
      </c>
      <c r="B9" s="506"/>
      <c r="C9" s="198">
        <v>9556702</v>
      </c>
      <c r="D9" s="253"/>
      <c r="E9" s="198">
        <v>1396000</v>
      </c>
      <c r="F9" s="253"/>
      <c r="G9" s="198"/>
      <c r="H9" s="253"/>
      <c r="I9" s="507"/>
      <c r="J9" s="495">
        <f t="shared" ref="J9:J24" si="0">SUM(B9:I9)</f>
        <v>10952702</v>
      </c>
    </row>
    <row r="10" spans="1:10" ht="27.75" customHeight="1" thickBot="1" x14ac:dyDescent="0.25">
      <c r="A10" s="250" t="s">
        <v>134</v>
      </c>
      <c r="B10" s="508"/>
      <c r="C10" s="139"/>
      <c r="D10" s="139"/>
      <c r="E10" s="139">
        <v>34896007</v>
      </c>
      <c r="F10" s="139">
        <v>21112694</v>
      </c>
      <c r="G10" s="139"/>
      <c r="H10" s="139"/>
      <c r="I10" s="509">
        <v>29209760</v>
      </c>
      <c r="J10" s="495">
        <f t="shared" si="0"/>
        <v>85218461</v>
      </c>
    </row>
    <row r="11" spans="1:10" s="58" customFormat="1" ht="15.75" customHeight="1" thickBot="1" x14ac:dyDescent="0.25">
      <c r="A11" s="249" t="s">
        <v>136</v>
      </c>
      <c r="B11" s="508">
        <f>'Bevétel Önkormányzat 1.1 '!B11</f>
        <v>296230251</v>
      </c>
      <c r="C11" s="139"/>
      <c r="D11" s="139"/>
      <c r="E11" s="499"/>
      <c r="F11" s="139"/>
      <c r="G11" s="499"/>
      <c r="H11" s="499"/>
      <c r="I11" s="509">
        <v>10353836</v>
      </c>
      <c r="J11" s="495">
        <f t="shared" si="0"/>
        <v>306584087</v>
      </c>
    </row>
    <row r="12" spans="1:10" s="58" customFormat="1" ht="15.75" customHeight="1" thickBot="1" x14ac:dyDescent="0.25">
      <c r="A12" s="251" t="s">
        <v>352</v>
      </c>
      <c r="B12" s="508"/>
      <c r="C12" s="139"/>
      <c r="D12" s="139"/>
      <c r="E12" s="499"/>
      <c r="F12" s="139"/>
      <c r="G12" s="499"/>
      <c r="H12" s="499"/>
      <c r="I12" s="509">
        <v>2183606</v>
      </c>
      <c r="J12" s="495">
        <f t="shared" si="0"/>
        <v>2183606</v>
      </c>
    </row>
    <row r="13" spans="1:10" ht="13.5" thickBot="1" x14ac:dyDescent="0.25">
      <c r="A13" s="251" t="s">
        <v>140</v>
      </c>
      <c r="B13" s="506"/>
      <c r="C13" s="198"/>
      <c r="D13" s="253"/>
      <c r="E13" s="198">
        <v>18103400</v>
      </c>
      <c r="F13" s="253"/>
      <c r="G13" s="253"/>
      <c r="H13" s="253"/>
      <c r="I13" s="507">
        <v>65406585</v>
      </c>
      <c r="J13" s="495">
        <f t="shared" si="0"/>
        <v>83509985</v>
      </c>
    </row>
    <row r="14" spans="1:10" ht="15.75" customHeight="1" thickBot="1" x14ac:dyDescent="0.25">
      <c r="A14" s="250" t="s">
        <v>280</v>
      </c>
      <c r="B14" s="508"/>
      <c r="C14" s="139"/>
      <c r="D14" s="139"/>
      <c r="E14" s="139">
        <v>14860000</v>
      </c>
      <c r="F14" s="139"/>
      <c r="G14" s="139"/>
      <c r="H14" s="139"/>
      <c r="I14" s="509"/>
      <c r="J14" s="495">
        <f t="shared" si="0"/>
        <v>14860000</v>
      </c>
    </row>
    <row r="15" spans="1:10" ht="13.5" thickBot="1" x14ac:dyDescent="0.25">
      <c r="A15" s="249" t="s">
        <v>226</v>
      </c>
      <c r="B15" s="508"/>
      <c r="C15" s="139">
        <v>660692457</v>
      </c>
      <c r="D15" s="139"/>
      <c r="E15" s="139"/>
      <c r="F15" s="139"/>
      <c r="G15" s="139"/>
      <c r="H15" s="139"/>
      <c r="I15" s="509">
        <v>4009439</v>
      </c>
      <c r="J15" s="495">
        <f t="shared" si="0"/>
        <v>664701896</v>
      </c>
    </row>
    <row r="16" spans="1:10" ht="13.5" thickBot="1" x14ac:dyDescent="0.25">
      <c r="A16" s="249" t="s">
        <v>320</v>
      </c>
      <c r="B16" s="508"/>
      <c r="C16" s="139">
        <v>50636924</v>
      </c>
      <c r="D16" s="139"/>
      <c r="E16" s="139"/>
      <c r="F16" s="139"/>
      <c r="G16" s="139"/>
      <c r="H16" s="139"/>
      <c r="I16" s="509">
        <v>16668781</v>
      </c>
      <c r="J16" s="495">
        <f t="shared" si="0"/>
        <v>67305705</v>
      </c>
    </row>
    <row r="17" spans="1:10" ht="18" customHeight="1" thickBot="1" x14ac:dyDescent="0.25">
      <c r="A17" s="250" t="s">
        <v>287</v>
      </c>
      <c r="B17" s="508"/>
      <c r="C17" s="139">
        <v>774434019</v>
      </c>
      <c r="D17" s="139"/>
      <c r="E17" s="139"/>
      <c r="F17" s="139"/>
      <c r="G17" s="139"/>
      <c r="H17" s="139"/>
      <c r="I17" s="509"/>
      <c r="J17" s="495">
        <f t="shared" si="0"/>
        <v>774434019</v>
      </c>
    </row>
    <row r="18" spans="1:10" ht="13.5" thickBot="1" x14ac:dyDescent="0.25">
      <c r="A18" s="249" t="s">
        <v>135</v>
      </c>
      <c r="B18" s="508"/>
      <c r="C18" s="139"/>
      <c r="D18" s="139"/>
      <c r="E18" s="139">
        <v>110000</v>
      </c>
      <c r="F18" s="139"/>
      <c r="G18" s="139"/>
      <c r="H18" s="139"/>
      <c r="I18" s="509"/>
      <c r="J18" s="495">
        <f t="shared" si="0"/>
        <v>110000</v>
      </c>
    </row>
    <row r="19" spans="1:10" ht="13.5" thickBot="1" x14ac:dyDescent="0.25">
      <c r="A19" s="251" t="s">
        <v>155</v>
      </c>
      <c r="B19" s="508"/>
      <c r="C19" s="139"/>
      <c r="D19" s="139"/>
      <c r="E19" s="139">
        <v>1540000</v>
      </c>
      <c r="F19" s="139"/>
      <c r="G19" s="139"/>
      <c r="H19" s="139"/>
      <c r="I19" s="509"/>
      <c r="J19" s="495">
        <f t="shared" si="0"/>
        <v>1540000</v>
      </c>
    </row>
    <row r="20" spans="1:10" s="50" customFormat="1" ht="13.5" thickBot="1" x14ac:dyDescent="0.25">
      <c r="A20" s="429" t="s">
        <v>142</v>
      </c>
      <c r="B20" s="510"/>
      <c r="C20" s="500"/>
      <c r="D20" s="501"/>
      <c r="E20" s="500"/>
      <c r="F20" s="501"/>
      <c r="G20" s="501"/>
      <c r="H20" s="501"/>
      <c r="I20" s="511">
        <v>2000000</v>
      </c>
      <c r="J20" s="496">
        <f t="shared" si="0"/>
        <v>2000000</v>
      </c>
    </row>
    <row r="21" spans="1:10" ht="13.5" thickBot="1" x14ac:dyDescent="0.25">
      <c r="A21" s="251" t="s">
        <v>353</v>
      </c>
      <c r="B21" s="506">
        <v>1769451</v>
      </c>
      <c r="C21" s="198"/>
      <c r="D21" s="253"/>
      <c r="E21" s="198"/>
      <c r="F21" s="253"/>
      <c r="G21" s="253"/>
      <c r="H21" s="253"/>
      <c r="I21" s="507"/>
      <c r="J21" s="495">
        <f t="shared" si="0"/>
        <v>1769451</v>
      </c>
    </row>
    <row r="22" spans="1:10" ht="30" customHeight="1" thickBot="1" x14ac:dyDescent="0.25">
      <c r="A22" s="520" t="s">
        <v>361</v>
      </c>
      <c r="B22" s="506">
        <v>29474978</v>
      </c>
      <c r="C22" s="198">
        <v>7180928</v>
      </c>
      <c r="D22" s="253"/>
      <c r="E22" s="198"/>
      <c r="F22" s="253"/>
      <c r="G22" s="198"/>
      <c r="H22" s="253"/>
      <c r="I22" s="507">
        <v>23200868</v>
      </c>
      <c r="J22" s="495">
        <f>SUM(B22:I22)</f>
        <v>59856774</v>
      </c>
    </row>
    <row r="23" spans="1:10" ht="30" customHeight="1" thickBot="1" x14ac:dyDescent="0.25">
      <c r="A23" s="250" t="s">
        <v>137</v>
      </c>
      <c r="B23" s="508"/>
      <c r="C23" s="139"/>
      <c r="D23" s="139">
        <v>97402000</v>
      </c>
      <c r="E23" s="139"/>
      <c r="F23" s="139"/>
      <c r="G23" s="139"/>
      <c r="H23" s="139"/>
      <c r="I23" s="509"/>
      <c r="J23" s="495">
        <f t="shared" si="0"/>
        <v>97402000</v>
      </c>
    </row>
    <row r="24" spans="1:10" ht="13.5" thickBot="1" x14ac:dyDescent="0.25">
      <c r="A24" s="249" t="s">
        <v>138</v>
      </c>
      <c r="B24" s="512"/>
      <c r="C24" s="199"/>
      <c r="D24" s="513"/>
      <c r="E24" s="199"/>
      <c r="F24" s="513"/>
      <c r="G24" s="199"/>
      <c r="H24" s="513"/>
      <c r="I24" s="514">
        <f>'bevétel 1.m. '!I37</f>
        <v>97249817</v>
      </c>
      <c r="J24" s="495">
        <f t="shared" si="0"/>
        <v>97249817</v>
      </c>
    </row>
    <row r="25" spans="1:10" s="100" customFormat="1" ht="13.5" thickBot="1" x14ac:dyDescent="0.25">
      <c r="A25" s="252" t="s">
        <v>14</v>
      </c>
      <c r="B25" s="498">
        <f t="shared" ref="B25:J25" si="1">SUM(B8:B24)</f>
        <v>327474680</v>
      </c>
      <c r="C25" s="517">
        <f t="shared" si="1"/>
        <v>1502501030</v>
      </c>
      <c r="D25" s="518">
        <f t="shared" si="1"/>
        <v>97402000</v>
      </c>
      <c r="E25" s="518">
        <f t="shared" si="1"/>
        <v>74139407</v>
      </c>
      <c r="F25" s="518">
        <f t="shared" si="1"/>
        <v>21112694</v>
      </c>
      <c r="G25" s="518">
        <f t="shared" si="1"/>
        <v>17224731</v>
      </c>
      <c r="H25" s="518">
        <f t="shared" si="1"/>
        <v>0</v>
      </c>
      <c r="I25" s="518">
        <f t="shared" si="1"/>
        <v>250563012</v>
      </c>
      <c r="J25" s="401">
        <f t="shared" si="1"/>
        <v>2290417554</v>
      </c>
    </row>
    <row r="29" spans="1:10" x14ac:dyDescent="0.2">
      <c r="J29" s="66"/>
    </row>
  </sheetData>
  <mergeCells count="2">
    <mergeCell ref="A1:J2"/>
    <mergeCell ref="A6:A7"/>
  </mergeCells>
  <pageMargins left="0.75" right="0.75" top="1" bottom="1" header="0.5" footer="0.5"/>
  <pageSetup paperSize="9" scale="62" orientation="landscape" r:id="rId1"/>
  <headerFooter alignWithMargins="0">
    <oddHeader>&amp;R1/1)a sz. melléklete
...../2020. (III.03.)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K71"/>
  <sheetViews>
    <sheetView view="pageLayout" zoomScaleNormal="100" workbookViewId="0">
      <selection activeCell="I17" sqref="I17"/>
    </sheetView>
  </sheetViews>
  <sheetFormatPr defaultRowHeight="12.75" x14ac:dyDescent="0.2"/>
  <cols>
    <col min="5" max="5" width="30.42578125" customWidth="1"/>
    <col min="6" max="6" width="11.28515625" style="74" customWidth="1"/>
    <col min="7" max="7" width="16.7109375" customWidth="1"/>
    <col min="8" max="8" width="17.85546875" style="73" customWidth="1"/>
    <col min="9" max="9" width="12.7109375" customWidth="1"/>
    <col min="11" max="11" width="10.7109375" bestFit="1" customWidth="1"/>
    <col min="12" max="12" width="12" customWidth="1"/>
  </cols>
  <sheetData>
    <row r="1" spans="1:11" ht="13.5" customHeight="1" thickBot="1" x14ac:dyDescent="0.25">
      <c r="A1" s="599" t="s">
        <v>29</v>
      </c>
      <c r="B1" s="599"/>
      <c r="C1" s="599"/>
      <c r="D1" s="599"/>
      <c r="E1" s="599"/>
      <c r="F1" s="595" t="s">
        <v>359</v>
      </c>
      <c r="G1" s="595"/>
      <c r="H1" s="595"/>
      <c r="I1" s="16"/>
    </row>
    <row r="2" spans="1:11" ht="13.5" thickBot="1" x14ac:dyDescent="0.25">
      <c r="A2" s="599"/>
      <c r="B2" s="599"/>
      <c r="C2" s="599"/>
      <c r="D2" s="599"/>
      <c r="E2" s="599"/>
      <c r="F2" s="596" t="s">
        <v>17</v>
      </c>
      <c r="G2" s="597" t="s">
        <v>27</v>
      </c>
      <c r="H2" s="598"/>
      <c r="I2" s="9"/>
    </row>
    <row r="3" spans="1:11" ht="13.5" thickBot="1" x14ac:dyDescent="0.25">
      <c r="A3" s="599"/>
      <c r="B3" s="599"/>
      <c r="C3" s="599"/>
      <c r="D3" s="599"/>
      <c r="E3" s="599"/>
      <c r="F3" s="596"/>
      <c r="G3" s="22" t="s">
        <v>278</v>
      </c>
      <c r="H3" s="70" t="s">
        <v>28</v>
      </c>
      <c r="I3" s="9"/>
    </row>
    <row r="4" spans="1:11" s="117" customFormat="1" ht="15" x14ac:dyDescent="0.25">
      <c r="A4" s="600" t="s">
        <v>100</v>
      </c>
      <c r="B4" s="601"/>
      <c r="C4" s="601"/>
      <c r="D4" s="601"/>
      <c r="E4" s="601"/>
      <c r="F4" s="601"/>
      <c r="G4" s="602"/>
      <c r="H4" s="115">
        <f>H5+H16+H22+H24+H25+H23+H17+H18+H19+H20+H21</f>
        <v>276875541</v>
      </c>
      <c r="I4" s="116"/>
    </row>
    <row r="5" spans="1:11" ht="13.5" thickBot="1" x14ac:dyDescent="0.25">
      <c r="A5" s="592" t="s">
        <v>90</v>
      </c>
      <c r="B5" s="593"/>
      <c r="C5" s="593"/>
      <c r="D5" s="593"/>
      <c r="E5" s="593"/>
      <c r="F5" s="593"/>
      <c r="G5" s="594"/>
      <c r="H5" s="109">
        <f>H7+H12+H15+H6+H13+H14</f>
        <v>176602093</v>
      </c>
      <c r="I5" s="12"/>
    </row>
    <row r="6" spans="1:11" s="106" customFormat="1" ht="13.5" thickBot="1" x14ac:dyDescent="0.25">
      <c r="A6" s="589" t="s">
        <v>91</v>
      </c>
      <c r="B6" s="590"/>
      <c r="C6" s="590"/>
      <c r="D6" s="590"/>
      <c r="E6" s="591"/>
      <c r="F6" s="140">
        <v>16.57</v>
      </c>
      <c r="G6" s="110">
        <v>5450000</v>
      </c>
      <c r="H6" s="111">
        <v>116287611</v>
      </c>
      <c r="I6" s="105"/>
    </row>
    <row r="7" spans="1:11" s="57" customFormat="1" ht="13.5" thickBot="1" x14ac:dyDescent="0.25">
      <c r="A7" s="586" t="s">
        <v>92</v>
      </c>
      <c r="B7" s="587"/>
      <c r="C7" s="587"/>
      <c r="D7" s="587"/>
      <c r="E7" s="588"/>
      <c r="F7" s="112"/>
      <c r="G7" s="113"/>
      <c r="H7" s="114">
        <f>SUM(H8:H11)</f>
        <v>30897810</v>
      </c>
      <c r="I7" s="107"/>
    </row>
    <row r="8" spans="1:11" x14ac:dyDescent="0.2">
      <c r="A8" s="570" t="s">
        <v>93</v>
      </c>
      <c r="B8" s="571"/>
      <c r="C8" s="571"/>
      <c r="D8" s="571"/>
      <c r="E8" s="571"/>
      <c r="F8" s="144">
        <v>22300</v>
      </c>
      <c r="G8" s="145"/>
      <c r="H8" s="146">
        <v>10132920</v>
      </c>
      <c r="I8" s="6"/>
    </row>
    <row r="9" spans="1:11" x14ac:dyDescent="0.2">
      <c r="A9" s="572" t="s">
        <v>94</v>
      </c>
      <c r="B9" s="573"/>
      <c r="C9" s="573"/>
      <c r="D9" s="573"/>
      <c r="E9" s="573"/>
      <c r="F9" s="92"/>
      <c r="G9" s="141"/>
      <c r="H9" s="136">
        <v>12704000</v>
      </c>
      <c r="I9" s="6"/>
    </row>
    <row r="10" spans="1:11" x14ac:dyDescent="0.2">
      <c r="A10" s="572" t="s">
        <v>95</v>
      </c>
      <c r="B10" s="573"/>
      <c r="C10" s="573"/>
      <c r="D10" s="573"/>
      <c r="E10" s="573"/>
      <c r="F10" s="92"/>
      <c r="G10" s="141"/>
      <c r="H10" s="136">
        <v>100000</v>
      </c>
      <c r="I10" s="6"/>
    </row>
    <row r="11" spans="1:11" ht="13.5" thickBot="1" x14ac:dyDescent="0.25">
      <c r="A11" s="572" t="s">
        <v>96</v>
      </c>
      <c r="B11" s="573"/>
      <c r="C11" s="573"/>
      <c r="D11" s="573"/>
      <c r="E11" s="573"/>
      <c r="F11" s="93"/>
      <c r="G11" s="142"/>
      <c r="H11" s="143">
        <v>7960890</v>
      </c>
      <c r="I11" s="6"/>
    </row>
    <row r="12" spans="1:11" s="58" customFormat="1" ht="14.25" thickBot="1" x14ac:dyDescent="0.3">
      <c r="A12" s="574" t="s">
        <v>97</v>
      </c>
      <c r="B12" s="575"/>
      <c r="C12" s="575"/>
      <c r="D12" s="575"/>
      <c r="E12" s="576"/>
      <c r="F12" s="118"/>
      <c r="G12" s="119"/>
      <c r="H12" s="120">
        <v>14404500</v>
      </c>
      <c r="I12" s="108"/>
      <c r="K12" s="430"/>
    </row>
    <row r="13" spans="1:11" s="58" customFormat="1" ht="14.25" thickBot="1" x14ac:dyDescent="0.3">
      <c r="A13" s="574" t="s">
        <v>227</v>
      </c>
      <c r="B13" s="575"/>
      <c r="C13" s="575"/>
      <c r="D13" s="575"/>
      <c r="E13" s="576"/>
      <c r="F13" s="118"/>
      <c r="G13" s="119"/>
      <c r="H13" s="120">
        <v>13424172</v>
      </c>
      <c r="I13" s="108"/>
      <c r="K13" s="430"/>
    </row>
    <row r="14" spans="1:11" s="58" customFormat="1" ht="14.25" thickBot="1" x14ac:dyDescent="0.3">
      <c r="A14" s="574" t="s">
        <v>322</v>
      </c>
      <c r="B14" s="575"/>
      <c r="C14" s="575"/>
      <c r="D14" s="575"/>
      <c r="E14" s="576"/>
      <c r="F14" s="118"/>
      <c r="G14" s="119"/>
      <c r="H14" s="120">
        <v>1538000</v>
      </c>
      <c r="I14" s="108"/>
      <c r="K14" s="430"/>
    </row>
    <row r="15" spans="1:11" s="58" customFormat="1" ht="14.25" thickBot="1" x14ac:dyDescent="0.3">
      <c r="A15" s="574" t="s">
        <v>228</v>
      </c>
      <c r="B15" s="575"/>
      <c r="C15" s="575"/>
      <c r="D15" s="575"/>
      <c r="E15" s="576"/>
      <c r="F15" s="118">
        <v>100</v>
      </c>
      <c r="G15" s="119">
        <v>500</v>
      </c>
      <c r="H15" s="120">
        <f>F15*G15</f>
        <v>50000</v>
      </c>
      <c r="I15" s="108"/>
    </row>
    <row r="16" spans="1:11" s="58" customFormat="1" ht="14.25" thickBot="1" x14ac:dyDescent="0.3">
      <c r="A16" s="574" t="s">
        <v>98</v>
      </c>
      <c r="B16" s="575"/>
      <c r="C16" s="575"/>
      <c r="D16" s="575"/>
      <c r="E16" s="576"/>
      <c r="F16" s="118"/>
      <c r="G16" s="119"/>
      <c r="H16" s="120">
        <v>58157390</v>
      </c>
      <c r="I16" s="108"/>
    </row>
    <row r="17" spans="1:9" s="58" customFormat="1" ht="43.5" customHeight="1" thickBot="1" x14ac:dyDescent="0.3">
      <c r="A17" s="583" t="s">
        <v>354</v>
      </c>
      <c r="B17" s="584"/>
      <c r="C17" s="584"/>
      <c r="D17" s="584"/>
      <c r="E17" s="585"/>
      <c r="F17" s="519">
        <v>1.7</v>
      </c>
      <c r="G17" s="119">
        <v>4419000</v>
      </c>
      <c r="H17" s="120">
        <f>F17*G17</f>
        <v>7512300</v>
      </c>
      <c r="I17" s="108"/>
    </row>
    <row r="18" spans="1:9" s="58" customFormat="1" ht="42" customHeight="1" thickBot="1" x14ac:dyDescent="0.3">
      <c r="A18" s="583" t="s">
        <v>355</v>
      </c>
      <c r="B18" s="584"/>
      <c r="C18" s="584"/>
      <c r="D18" s="584"/>
      <c r="E18" s="585"/>
      <c r="F18" s="118">
        <v>2</v>
      </c>
      <c r="G18" s="119">
        <v>2993000</v>
      </c>
      <c r="H18" s="120">
        <f>F18*G18</f>
        <v>5986000</v>
      </c>
      <c r="I18" s="108"/>
    </row>
    <row r="19" spans="1:9" s="58" customFormat="1" ht="15.75" customHeight="1" thickBot="1" x14ac:dyDescent="0.3">
      <c r="A19" s="583" t="s">
        <v>356</v>
      </c>
      <c r="B19" s="584"/>
      <c r="C19" s="584"/>
      <c r="D19" s="584"/>
      <c r="E19" s="585"/>
      <c r="F19" s="118"/>
      <c r="G19" s="119"/>
      <c r="H19" s="120">
        <v>6291000</v>
      </c>
      <c r="I19" s="108"/>
    </row>
    <row r="20" spans="1:9" s="58" customFormat="1" ht="15.75" customHeight="1" thickBot="1" x14ac:dyDescent="0.3">
      <c r="A20" s="583" t="s">
        <v>357</v>
      </c>
      <c r="B20" s="584"/>
      <c r="C20" s="584"/>
      <c r="D20" s="584"/>
      <c r="E20" s="585"/>
      <c r="F20" s="118"/>
      <c r="G20" s="119"/>
      <c r="H20" s="120">
        <v>1056000</v>
      </c>
      <c r="I20" s="108"/>
    </row>
    <row r="21" spans="1:9" s="58" customFormat="1" ht="15.75" customHeight="1" thickBot="1" x14ac:dyDescent="0.3">
      <c r="A21" s="583" t="s">
        <v>358</v>
      </c>
      <c r="B21" s="584"/>
      <c r="C21" s="584"/>
      <c r="D21" s="584"/>
      <c r="E21" s="585"/>
      <c r="F21" s="118"/>
      <c r="G21" s="119"/>
      <c r="H21" s="120">
        <v>1482333</v>
      </c>
      <c r="I21" s="108"/>
    </row>
    <row r="22" spans="1:9" s="58" customFormat="1" ht="14.25" thickBot="1" x14ac:dyDescent="0.3">
      <c r="A22" s="580" t="s">
        <v>99</v>
      </c>
      <c r="B22" s="581"/>
      <c r="C22" s="581"/>
      <c r="D22" s="581"/>
      <c r="E22" s="582"/>
      <c r="F22" s="118" t="s">
        <v>143</v>
      </c>
      <c r="G22" s="121">
        <v>3100000</v>
      </c>
      <c r="H22" s="122">
        <v>4250000</v>
      </c>
      <c r="I22" s="108"/>
    </row>
    <row r="23" spans="1:9" s="58" customFormat="1" ht="34.5" customHeight="1" thickBot="1" x14ac:dyDescent="0.3">
      <c r="A23" s="577" t="s">
        <v>279</v>
      </c>
      <c r="B23" s="578"/>
      <c r="C23" s="578"/>
      <c r="D23" s="578"/>
      <c r="E23" s="579"/>
      <c r="F23" s="118"/>
      <c r="G23" s="121">
        <v>570</v>
      </c>
      <c r="H23" s="126">
        <v>8619540</v>
      </c>
      <c r="I23" s="108"/>
    </row>
    <row r="24" spans="1:9" s="58" customFormat="1" ht="14.25" thickBot="1" x14ac:dyDescent="0.3">
      <c r="A24" s="574" t="s">
        <v>144</v>
      </c>
      <c r="B24" s="575"/>
      <c r="C24" s="575"/>
      <c r="D24" s="575"/>
      <c r="E24" s="576"/>
      <c r="F24" s="118">
        <v>99</v>
      </c>
      <c r="G24" s="121">
        <v>2550</v>
      </c>
      <c r="H24" s="126">
        <v>244800</v>
      </c>
      <c r="I24" s="108"/>
    </row>
    <row r="25" spans="1:9" ht="27" customHeight="1" thickBot="1" x14ac:dyDescent="0.25">
      <c r="A25" s="567" t="s">
        <v>103</v>
      </c>
      <c r="B25" s="568"/>
      <c r="C25" s="568"/>
      <c r="D25" s="568"/>
      <c r="E25" s="569"/>
      <c r="F25" s="124">
        <v>1210</v>
      </c>
      <c r="G25" s="125">
        <v>5448</v>
      </c>
      <c r="H25" s="126">
        <v>6674085</v>
      </c>
      <c r="I25" s="6"/>
    </row>
    <row r="26" spans="1:9" x14ac:dyDescent="0.2">
      <c r="A26" s="18"/>
      <c r="B26" s="5"/>
      <c r="C26" s="8"/>
      <c r="D26" s="5"/>
      <c r="E26" s="5"/>
      <c r="F26" s="76"/>
      <c r="G26" s="6"/>
      <c r="H26" s="69"/>
      <c r="I26" s="6"/>
    </row>
    <row r="27" spans="1:9" x14ac:dyDescent="0.2">
      <c r="A27" s="18"/>
      <c r="B27" s="5"/>
      <c r="C27" s="8"/>
      <c r="D27" s="5"/>
      <c r="E27" s="5"/>
      <c r="F27" s="76"/>
      <c r="G27" s="6"/>
      <c r="H27" s="69"/>
      <c r="I27" s="6"/>
    </row>
    <row r="28" spans="1:9" x14ac:dyDescent="0.2">
      <c r="A28" s="18"/>
      <c r="B28" s="5"/>
      <c r="C28" s="8"/>
      <c r="D28" s="5"/>
      <c r="E28" s="5"/>
      <c r="F28" s="76"/>
      <c r="G28" s="6"/>
      <c r="H28" s="69"/>
      <c r="I28" s="6"/>
    </row>
    <row r="29" spans="1:9" x14ac:dyDescent="0.2">
      <c r="A29" s="18"/>
      <c r="B29" s="5"/>
      <c r="C29" s="8"/>
      <c r="D29" s="5"/>
      <c r="E29" s="5"/>
      <c r="F29" s="76"/>
      <c r="G29" s="6"/>
      <c r="H29" s="69"/>
      <c r="I29" s="6"/>
    </row>
    <row r="30" spans="1:9" x14ac:dyDescent="0.2">
      <c r="A30" s="18"/>
      <c r="B30" s="5"/>
      <c r="C30" s="8"/>
      <c r="D30" s="5"/>
      <c r="E30" s="5"/>
      <c r="F30" s="76"/>
      <c r="G30" s="6"/>
      <c r="H30" s="69"/>
      <c r="I30" s="6"/>
    </row>
    <row r="31" spans="1:9" x14ac:dyDescent="0.2">
      <c r="A31" s="18"/>
      <c r="B31" s="5"/>
      <c r="C31" s="8"/>
      <c r="D31" s="5"/>
      <c r="E31" s="5"/>
      <c r="F31" s="76"/>
      <c r="G31" s="6"/>
      <c r="H31" s="69"/>
      <c r="I31" s="6"/>
    </row>
    <row r="32" spans="1:9" x14ac:dyDescent="0.2">
      <c r="A32" s="18"/>
      <c r="B32" s="5"/>
      <c r="C32" s="8"/>
      <c r="D32" s="5"/>
      <c r="E32" s="5"/>
      <c r="F32" s="76"/>
      <c r="G32" s="6"/>
      <c r="H32" s="69"/>
      <c r="I32" s="6"/>
    </row>
    <row r="33" spans="1:9" x14ac:dyDescent="0.2">
      <c r="A33" s="18"/>
      <c r="B33" s="5"/>
      <c r="C33" s="5"/>
      <c r="D33" s="5"/>
      <c r="E33" s="5"/>
      <c r="F33" s="76"/>
      <c r="G33" s="6"/>
      <c r="H33" s="69"/>
      <c r="I33" s="6"/>
    </row>
    <row r="34" spans="1:9" x14ac:dyDescent="0.2">
      <c r="A34" s="18"/>
      <c r="B34" s="5"/>
      <c r="C34" s="5"/>
      <c r="D34" s="5"/>
      <c r="E34" s="5"/>
      <c r="F34" s="76"/>
      <c r="G34" s="6"/>
      <c r="H34" s="69"/>
      <c r="I34" s="6"/>
    </row>
    <row r="35" spans="1:9" x14ac:dyDescent="0.2">
      <c r="A35" s="18"/>
      <c r="B35" s="5"/>
      <c r="C35" s="5"/>
      <c r="D35" s="5"/>
      <c r="E35" s="5"/>
      <c r="F35" s="76"/>
      <c r="G35" s="6"/>
      <c r="H35" s="69"/>
      <c r="I35" s="6"/>
    </row>
    <row r="36" spans="1:9" x14ac:dyDescent="0.2">
      <c r="A36" s="18"/>
      <c r="B36" s="5"/>
      <c r="C36" s="5"/>
      <c r="D36" s="5"/>
      <c r="E36" s="5"/>
      <c r="F36" s="76"/>
      <c r="G36" s="6"/>
      <c r="H36" s="69"/>
      <c r="I36" s="6"/>
    </row>
    <row r="37" spans="1:9" x14ac:dyDescent="0.2">
      <c r="A37" s="18"/>
      <c r="B37" s="5"/>
      <c r="C37" s="5"/>
      <c r="D37" s="5"/>
      <c r="E37" s="5"/>
      <c r="F37" s="76"/>
      <c r="G37" s="6"/>
      <c r="H37" s="69"/>
      <c r="I37" s="6"/>
    </row>
    <row r="38" spans="1:9" x14ac:dyDescent="0.2">
      <c r="A38" s="17"/>
      <c r="B38" s="5"/>
      <c r="C38" s="5"/>
      <c r="D38" s="5"/>
      <c r="E38" s="5"/>
      <c r="F38" s="76"/>
      <c r="G38" s="6"/>
      <c r="H38" s="69"/>
      <c r="I38" s="6"/>
    </row>
    <row r="39" spans="1:9" x14ac:dyDescent="0.2">
      <c r="A39" s="17"/>
      <c r="B39" s="5"/>
      <c r="C39" s="5"/>
      <c r="D39" s="5"/>
      <c r="E39" s="5"/>
      <c r="F39" s="76"/>
      <c r="G39" s="6"/>
      <c r="H39" s="69"/>
      <c r="I39" s="6"/>
    </row>
    <row r="40" spans="1:9" x14ac:dyDescent="0.2">
      <c r="A40" s="18"/>
      <c r="B40" s="5"/>
      <c r="C40" s="5"/>
      <c r="D40" s="5"/>
      <c r="E40" s="5"/>
      <c r="F40" s="76"/>
      <c r="G40" s="6"/>
      <c r="H40" s="69"/>
      <c r="I40" s="6"/>
    </row>
    <row r="41" spans="1:9" x14ac:dyDescent="0.2">
      <c r="A41" s="18"/>
      <c r="B41" s="5"/>
      <c r="C41" s="5"/>
      <c r="D41" s="5"/>
      <c r="E41" s="5"/>
      <c r="F41" s="76"/>
      <c r="G41" s="6"/>
      <c r="H41" s="69"/>
      <c r="I41" s="6"/>
    </row>
    <row r="42" spans="1:9" x14ac:dyDescent="0.2">
      <c r="A42" s="18"/>
      <c r="B42" s="5"/>
      <c r="C42" s="5"/>
      <c r="D42" s="5"/>
      <c r="E42" s="5"/>
      <c r="F42" s="76"/>
      <c r="G42" s="6"/>
      <c r="H42" s="69"/>
      <c r="I42" s="6"/>
    </row>
    <row r="43" spans="1:9" x14ac:dyDescent="0.2">
      <c r="A43" s="18"/>
      <c r="B43" s="5"/>
      <c r="C43" s="5"/>
      <c r="D43" s="5"/>
      <c r="E43" s="5"/>
      <c r="F43" s="76"/>
      <c r="G43" s="6"/>
      <c r="H43" s="69"/>
      <c r="I43" s="6"/>
    </row>
    <row r="44" spans="1:9" x14ac:dyDescent="0.2">
      <c r="A44" s="18"/>
      <c r="B44" s="5"/>
      <c r="C44" s="5"/>
      <c r="D44" s="5"/>
      <c r="E44" s="5"/>
      <c r="F44" s="76"/>
      <c r="G44" s="6"/>
      <c r="H44" s="69"/>
      <c r="I44" s="6"/>
    </row>
    <row r="45" spans="1:9" x14ac:dyDescent="0.2">
      <c r="A45" s="18"/>
      <c r="B45" s="5"/>
      <c r="C45" s="5"/>
      <c r="D45" s="5"/>
      <c r="E45" s="5"/>
      <c r="F45" s="76"/>
      <c r="G45" s="6"/>
      <c r="H45" s="69"/>
      <c r="I45" s="6"/>
    </row>
    <row r="46" spans="1:9" x14ac:dyDescent="0.2">
      <c r="A46" s="18"/>
      <c r="B46" s="5"/>
      <c r="C46" s="5"/>
      <c r="D46" s="5"/>
      <c r="E46" s="5"/>
      <c r="F46" s="76"/>
      <c r="G46" s="6"/>
      <c r="H46" s="69"/>
      <c r="I46" s="6"/>
    </row>
    <row r="47" spans="1:9" x14ac:dyDescent="0.2">
      <c r="A47" s="19"/>
      <c r="B47" s="11"/>
      <c r="C47" s="11"/>
      <c r="D47" s="11"/>
      <c r="E47" s="11"/>
      <c r="F47" s="77"/>
      <c r="G47" s="12"/>
      <c r="H47" s="71"/>
      <c r="I47" s="12"/>
    </row>
    <row r="48" spans="1:9" x14ac:dyDescent="0.2">
      <c r="A48" s="18"/>
      <c r="B48" s="5"/>
      <c r="C48" s="5"/>
      <c r="D48" s="5"/>
      <c r="E48" s="5"/>
      <c r="F48" s="76"/>
      <c r="G48" s="6"/>
      <c r="H48" s="69"/>
      <c r="I48" s="6"/>
    </row>
    <row r="49" spans="1:9" x14ac:dyDescent="0.2">
      <c r="A49" s="18"/>
      <c r="B49" s="5"/>
      <c r="C49" s="5"/>
      <c r="D49" s="5"/>
      <c r="E49" s="5"/>
      <c r="F49" s="76"/>
      <c r="G49" s="6"/>
      <c r="H49" s="69"/>
      <c r="I49" s="6"/>
    </row>
    <row r="50" spans="1:9" x14ac:dyDescent="0.2">
      <c r="A50" s="18"/>
      <c r="B50" s="5"/>
      <c r="C50" s="5"/>
      <c r="D50" s="5"/>
      <c r="E50" s="5"/>
      <c r="F50" s="76"/>
      <c r="G50" s="6"/>
      <c r="H50" s="69"/>
      <c r="I50" s="6"/>
    </row>
    <row r="51" spans="1:9" x14ac:dyDescent="0.2">
      <c r="A51" s="18"/>
      <c r="B51" s="5"/>
      <c r="C51" s="5"/>
      <c r="D51" s="5"/>
      <c r="E51" s="5"/>
      <c r="F51" s="76"/>
      <c r="G51" s="6"/>
      <c r="H51" s="69"/>
      <c r="I51" s="6"/>
    </row>
    <row r="52" spans="1:9" x14ac:dyDescent="0.2">
      <c r="A52" s="18"/>
      <c r="B52" s="5"/>
      <c r="C52" s="5"/>
      <c r="D52" s="5"/>
      <c r="E52" s="5"/>
      <c r="F52" s="76"/>
      <c r="G52" s="6"/>
      <c r="H52" s="69"/>
      <c r="I52" s="6"/>
    </row>
    <row r="53" spans="1:9" x14ac:dyDescent="0.2">
      <c r="A53" s="18"/>
      <c r="B53" s="11"/>
      <c r="C53" s="11"/>
      <c r="D53" s="11"/>
      <c r="E53" s="11"/>
      <c r="F53" s="77"/>
      <c r="G53" s="12"/>
      <c r="H53" s="71"/>
      <c r="I53" s="12"/>
    </row>
    <row r="54" spans="1:9" x14ac:dyDescent="0.2">
      <c r="A54" s="18"/>
      <c r="B54" s="11"/>
      <c r="C54" s="11"/>
      <c r="D54" s="11"/>
      <c r="E54" s="11"/>
      <c r="F54" s="77"/>
      <c r="G54" s="12"/>
      <c r="H54" s="69"/>
      <c r="I54" s="12"/>
    </row>
    <row r="55" spans="1:9" x14ac:dyDescent="0.2">
      <c r="A55" s="18"/>
      <c r="B55" s="5"/>
      <c r="C55" s="5"/>
      <c r="D55" s="5"/>
      <c r="E55" s="5"/>
      <c r="F55" s="76"/>
      <c r="G55" s="6"/>
      <c r="H55" s="69"/>
      <c r="I55" s="6"/>
    </row>
    <row r="56" spans="1:9" x14ac:dyDescent="0.2">
      <c r="A56" s="18"/>
      <c r="B56" s="5"/>
      <c r="C56" s="5"/>
      <c r="D56" s="5"/>
      <c r="E56" s="5"/>
      <c r="F56" s="76"/>
      <c r="G56" s="6"/>
      <c r="H56" s="69"/>
      <c r="I56" s="6"/>
    </row>
    <row r="57" spans="1:9" x14ac:dyDescent="0.2">
      <c r="A57" s="18"/>
      <c r="B57" s="11"/>
      <c r="C57" s="11"/>
      <c r="D57" s="11"/>
      <c r="E57" s="11"/>
      <c r="F57" s="77"/>
      <c r="G57" s="12"/>
      <c r="H57" s="69"/>
      <c r="I57" s="12"/>
    </row>
    <row r="58" spans="1:9" x14ac:dyDescent="0.2">
      <c r="A58" s="18"/>
      <c r="B58" s="11"/>
      <c r="C58" s="5"/>
      <c r="D58" s="5"/>
      <c r="E58" s="5"/>
      <c r="F58" s="76"/>
      <c r="G58" s="6"/>
      <c r="H58" s="69"/>
      <c r="I58" s="6"/>
    </row>
    <row r="59" spans="1:9" x14ac:dyDescent="0.2">
      <c r="A59" s="18"/>
      <c r="B59" s="11"/>
      <c r="C59" s="11"/>
      <c r="D59" s="11"/>
      <c r="E59" s="11"/>
      <c r="F59" s="77"/>
      <c r="G59" s="12"/>
      <c r="H59" s="71"/>
      <c r="I59" s="12"/>
    </row>
    <row r="60" spans="1:9" x14ac:dyDescent="0.2">
      <c r="A60" s="20"/>
      <c r="B60" s="5"/>
      <c r="C60" s="5"/>
      <c r="D60" s="5"/>
      <c r="E60" s="5"/>
      <c r="F60" s="76"/>
      <c r="G60" s="6"/>
      <c r="H60" s="69"/>
      <c r="I60" s="6"/>
    </row>
    <row r="61" spans="1:9" x14ac:dyDescent="0.2">
      <c r="A61" s="20"/>
      <c r="B61" s="5"/>
      <c r="C61" s="5"/>
      <c r="D61" s="5"/>
      <c r="E61" s="5"/>
      <c r="F61" s="76"/>
      <c r="G61" s="6"/>
      <c r="H61" s="69"/>
      <c r="I61" s="6"/>
    </row>
    <row r="62" spans="1:9" x14ac:dyDescent="0.2">
      <c r="A62" s="20"/>
      <c r="B62" s="5"/>
      <c r="C62" s="5"/>
      <c r="D62" s="5"/>
      <c r="E62" s="5"/>
      <c r="F62" s="76"/>
      <c r="G62" s="6"/>
      <c r="H62" s="69"/>
      <c r="I62" s="6"/>
    </row>
    <row r="63" spans="1:9" x14ac:dyDescent="0.2">
      <c r="A63" s="20"/>
      <c r="B63" s="5"/>
      <c r="C63" s="5"/>
      <c r="D63" s="5"/>
      <c r="E63" s="5"/>
      <c r="F63" s="76"/>
      <c r="G63" s="6"/>
      <c r="H63" s="69"/>
      <c r="I63" s="6"/>
    </row>
    <row r="64" spans="1:9" x14ac:dyDescent="0.2">
      <c r="A64" s="21"/>
      <c r="B64" s="11"/>
      <c r="C64" s="11"/>
      <c r="D64" s="11"/>
      <c r="E64" s="11"/>
      <c r="F64" s="77"/>
      <c r="G64" s="12"/>
      <c r="H64" s="71"/>
      <c r="I64" s="12"/>
    </row>
    <row r="65" spans="1:9" x14ac:dyDescent="0.2">
      <c r="A65" s="20"/>
      <c r="B65" s="5"/>
      <c r="C65" s="5"/>
      <c r="D65" s="5"/>
      <c r="E65" s="5"/>
      <c r="F65" s="76"/>
      <c r="G65" s="6"/>
      <c r="H65" s="69"/>
      <c r="I65" s="6"/>
    </row>
    <row r="66" spans="1:9" x14ac:dyDescent="0.2">
      <c r="A66" s="20"/>
      <c r="B66" s="5"/>
      <c r="C66" s="5"/>
      <c r="D66" s="5"/>
      <c r="E66" s="5"/>
      <c r="F66" s="76"/>
      <c r="G66" s="6"/>
      <c r="H66" s="69"/>
      <c r="I66" s="6"/>
    </row>
    <row r="67" spans="1:9" x14ac:dyDescent="0.2">
      <c r="A67" s="21"/>
      <c r="B67" s="11"/>
      <c r="C67" s="11"/>
      <c r="D67" s="11"/>
      <c r="E67" s="11"/>
      <c r="F67" s="77"/>
      <c r="G67" s="12"/>
      <c r="H67" s="71"/>
      <c r="I67" s="12"/>
    </row>
    <row r="68" spans="1:9" x14ac:dyDescent="0.2">
      <c r="A68" s="20"/>
      <c r="B68" s="5"/>
      <c r="C68" s="5"/>
      <c r="D68" s="5"/>
      <c r="E68" s="5"/>
      <c r="F68" s="76"/>
      <c r="G68" s="6"/>
      <c r="H68" s="69"/>
      <c r="I68" s="6"/>
    </row>
    <row r="69" spans="1:9" x14ac:dyDescent="0.2">
      <c r="A69" s="20"/>
      <c r="B69" s="5"/>
      <c r="C69" s="5"/>
      <c r="D69" s="5"/>
      <c r="E69" s="5"/>
      <c r="F69" s="76"/>
      <c r="G69" s="6"/>
      <c r="H69" s="69"/>
      <c r="I69" s="6"/>
    </row>
    <row r="70" spans="1:9" x14ac:dyDescent="0.2">
      <c r="A70" s="11"/>
      <c r="B70" s="1"/>
      <c r="C70" s="11"/>
      <c r="D70" s="11"/>
      <c r="E70" s="11"/>
      <c r="F70" s="77"/>
      <c r="G70" s="12"/>
      <c r="H70" s="71"/>
      <c r="I70" s="12"/>
    </row>
    <row r="71" spans="1:9" x14ac:dyDescent="0.2">
      <c r="A71" s="18"/>
      <c r="B71" s="1"/>
      <c r="C71" s="1"/>
      <c r="D71" s="1"/>
      <c r="E71" s="1"/>
      <c r="F71" s="78"/>
      <c r="G71" s="3"/>
      <c r="H71" s="72"/>
      <c r="I71" s="3"/>
    </row>
  </sheetData>
  <mergeCells count="26">
    <mergeCell ref="A6:E6"/>
    <mergeCell ref="A5:G5"/>
    <mergeCell ref="F1:H1"/>
    <mergeCell ref="F2:F3"/>
    <mergeCell ref="G2:H2"/>
    <mergeCell ref="A1:E3"/>
    <mergeCell ref="A4:G4"/>
    <mergeCell ref="A7:E7"/>
    <mergeCell ref="A16:E16"/>
    <mergeCell ref="A15:E15"/>
    <mergeCell ref="A12:E12"/>
    <mergeCell ref="A13:E13"/>
    <mergeCell ref="A14:E14"/>
    <mergeCell ref="A25:E25"/>
    <mergeCell ref="A8:E8"/>
    <mergeCell ref="A9:E9"/>
    <mergeCell ref="A10:E10"/>
    <mergeCell ref="A11:E11"/>
    <mergeCell ref="A24:E24"/>
    <mergeCell ref="A23:E23"/>
    <mergeCell ref="A22:E22"/>
    <mergeCell ref="A18:E18"/>
    <mergeCell ref="A17:E17"/>
    <mergeCell ref="A19:E19"/>
    <mergeCell ref="A20:E20"/>
    <mergeCell ref="A21:E21"/>
  </mergeCells>
  <phoneticPr fontId="2" type="noConversion"/>
  <pageMargins left="0.59055118110236227" right="0.59055118110236227" top="0.98425196850393704" bottom="0.39370078740157483" header="0.51181102362204722" footer="0.51181102362204722"/>
  <pageSetup paperSize="9" scale="77" orientation="portrait" r:id="rId1"/>
  <headerFooter alignWithMargins="0">
    <oddHeader xml:space="preserve">&amp;C&amp;"Arial CE,Félkövér"Feladatalapú támogatások a 2020. évre&amp;"Arial CE,Normál"
&amp;R1/2. sz. melléklet
...../2020. (III.03.) Egyek.Önk.
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view="pageLayout" zoomScaleNormal="130" zoomScaleSheetLayoutView="110" workbookViewId="0">
      <selection sqref="A1:I1"/>
    </sheetView>
  </sheetViews>
  <sheetFormatPr defaultRowHeight="12.75" x14ac:dyDescent="0.2"/>
  <cols>
    <col min="2" max="2" width="20.42578125" bestFit="1" customWidth="1"/>
    <col min="3" max="3" width="8.7109375" bestFit="1" customWidth="1"/>
    <col min="4" max="4" width="18.28515625" bestFit="1" customWidth="1"/>
    <col min="5" max="5" width="14.85546875" customWidth="1"/>
    <col min="6" max="6" width="12.28515625" customWidth="1"/>
    <col min="7" max="7" width="10.140625" bestFit="1" customWidth="1"/>
    <col min="8" max="8" width="12.85546875" customWidth="1"/>
    <col min="9" max="9" width="15" customWidth="1"/>
  </cols>
  <sheetData>
    <row r="1" spans="1:9" s="295" customFormat="1" ht="69" customHeight="1" x14ac:dyDescent="0.25">
      <c r="A1" s="604" t="s">
        <v>284</v>
      </c>
      <c r="B1" s="604"/>
      <c r="C1" s="604"/>
      <c r="D1" s="604"/>
      <c r="E1" s="604"/>
      <c r="F1" s="604"/>
      <c r="G1" s="604"/>
      <c r="H1" s="604"/>
      <c r="I1" s="604"/>
    </row>
    <row r="2" spans="1:9" s="295" customFormat="1" ht="69" customHeight="1" thickBot="1" x14ac:dyDescent="0.25">
      <c r="A2" s="290"/>
      <c r="B2" s="291"/>
      <c r="C2" s="292"/>
      <c r="D2" s="292"/>
      <c r="E2" s="292"/>
      <c r="F2" s="292"/>
      <c r="G2" s="292"/>
      <c r="H2" s="292"/>
      <c r="I2" s="293" t="s">
        <v>303</v>
      </c>
    </row>
    <row r="3" spans="1:9" s="296" customFormat="1" ht="69" customHeight="1" thickBot="1" x14ac:dyDescent="0.25">
      <c r="A3" s="605" t="s">
        <v>48</v>
      </c>
      <c r="B3" s="607" t="s">
        <v>60</v>
      </c>
      <c r="C3" s="609" t="s">
        <v>61</v>
      </c>
      <c r="D3" s="609" t="s">
        <v>383</v>
      </c>
      <c r="E3" s="611" t="s">
        <v>62</v>
      </c>
      <c r="F3" s="611"/>
      <c r="G3" s="611"/>
      <c r="H3" s="611"/>
      <c r="I3" s="612" t="s">
        <v>25</v>
      </c>
    </row>
    <row r="4" spans="1:9" s="296" customFormat="1" ht="24.75" customHeight="1" thickBot="1" x14ac:dyDescent="0.25">
      <c r="A4" s="606"/>
      <c r="B4" s="608"/>
      <c r="C4" s="608"/>
      <c r="D4" s="610"/>
      <c r="E4" s="294" t="s">
        <v>296</v>
      </c>
      <c r="F4" s="294" t="s">
        <v>314</v>
      </c>
      <c r="G4" s="294" t="s">
        <v>324</v>
      </c>
      <c r="H4" s="294" t="s">
        <v>384</v>
      </c>
      <c r="I4" s="613"/>
    </row>
    <row r="5" spans="1:9" s="297" customFormat="1" ht="34.5" thickBot="1" x14ac:dyDescent="0.25">
      <c r="A5" s="436" t="s">
        <v>2</v>
      </c>
      <c r="B5" s="437" t="s">
        <v>63</v>
      </c>
      <c r="C5" s="438" t="s">
        <v>240</v>
      </c>
      <c r="D5" s="439" t="s">
        <v>240</v>
      </c>
      <c r="E5" s="438" t="s">
        <v>240</v>
      </c>
      <c r="F5" s="438" t="s">
        <v>240</v>
      </c>
      <c r="G5" s="438" t="s">
        <v>240</v>
      </c>
      <c r="H5" s="438" t="s">
        <v>240</v>
      </c>
      <c r="I5" s="440" t="s">
        <v>240</v>
      </c>
    </row>
    <row r="6" spans="1:9" s="297" customFormat="1" ht="37.5" customHeight="1" thickBot="1" x14ac:dyDescent="0.25">
      <c r="A6" s="441" t="s">
        <v>55</v>
      </c>
      <c r="B6" s="442" t="s">
        <v>101</v>
      </c>
      <c r="C6" s="443" t="s">
        <v>240</v>
      </c>
      <c r="D6" s="444" t="s">
        <v>240</v>
      </c>
      <c r="E6" s="445" t="s">
        <v>240</v>
      </c>
      <c r="F6" s="445" t="s">
        <v>240</v>
      </c>
      <c r="G6" s="445" t="s">
        <v>240</v>
      </c>
      <c r="H6" s="445" t="s">
        <v>240</v>
      </c>
      <c r="I6" s="446" t="s">
        <v>240</v>
      </c>
    </row>
    <row r="7" spans="1:9" s="297" customFormat="1" ht="43.5" customHeight="1" thickBot="1" x14ac:dyDescent="0.25">
      <c r="A7" s="436" t="s">
        <v>6</v>
      </c>
      <c r="B7" s="447" t="s">
        <v>64</v>
      </c>
      <c r="C7" s="438"/>
      <c r="D7" s="438">
        <f>SUM(D8:D21)</f>
        <v>53342727</v>
      </c>
      <c r="E7" s="438">
        <f>SUM(E8:E21)</f>
        <v>20214323</v>
      </c>
      <c r="F7" s="438">
        <f>SUM(F8:F21)</f>
        <v>28528618</v>
      </c>
      <c r="G7" s="438">
        <f t="shared" ref="G7:I7" si="0">SUM(G8:G21)</f>
        <v>27682072</v>
      </c>
      <c r="H7" s="438">
        <f t="shared" si="0"/>
        <v>26781443</v>
      </c>
      <c r="I7" s="538">
        <f t="shared" si="0"/>
        <v>156549183</v>
      </c>
    </row>
    <row r="8" spans="1:9" s="394" customFormat="1" ht="75.75" customHeight="1" x14ac:dyDescent="0.2">
      <c r="A8" s="448" t="s">
        <v>56</v>
      </c>
      <c r="B8" s="449" t="s">
        <v>262</v>
      </c>
      <c r="C8" s="450" t="s">
        <v>79</v>
      </c>
      <c r="D8" s="451">
        <f>8457956+2457068+E8</f>
        <v>13270131</v>
      </c>
      <c r="E8" s="451">
        <v>2355107</v>
      </c>
      <c r="F8" s="451">
        <v>2269936</v>
      </c>
      <c r="G8" s="451">
        <v>2185828</v>
      </c>
      <c r="H8" s="451">
        <v>2104836</v>
      </c>
      <c r="I8" s="452">
        <f t="shared" ref="I8:I17" si="1">SUM(D8:H8)</f>
        <v>22185838</v>
      </c>
    </row>
    <row r="9" spans="1:9" s="394" customFormat="1" ht="40.5" customHeight="1" x14ac:dyDescent="0.2">
      <c r="A9" s="453" t="s">
        <v>57</v>
      </c>
      <c r="B9" s="396" t="s">
        <v>304</v>
      </c>
      <c r="C9" s="454" t="s">
        <v>305</v>
      </c>
      <c r="D9" s="455">
        <f>1607060+1315461+E9</f>
        <v>4165544</v>
      </c>
      <c r="E9" s="455">
        <v>1243023</v>
      </c>
      <c r="F9" s="455">
        <v>1200711</v>
      </c>
      <c r="G9" s="455">
        <v>1159181</v>
      </c>
      <c r="H9" s="455">
        <v>1119087</v>
      </c>
      <c r="I9" s="452">
        <f t="shared" si="1"/>
        <v>8887546</v>
      </c>
    </row>
    <row r="10" spans="1:9" s="394" customFormat="1" ht="52.5" customHeight="1" x14ac:dyDescent="0.2">
      <c r="A10" s="453" t="s">
        <v>58</v>
      </c>
      <c r="B10" s="396" t="s">
        <v>241</v>
      </c>
      <c r="C10" s="454" t="s">
        <v>79</v>
      </c>
      <c r="D10" s="455">
        <f>4205165+1230529+E10</f>
        <v>6594412</v>
      </c>
      <c r="E10" s="455">
        <v>1158718</v>
      </c>
      <c r="F10" s="455">
        <v>1116616</v>
      </c>
      <c r="G10" s="455">
        <v>1075080</v>
      </c>
      <c r="H10" s="455">
        <v>1035089</v>
      </c>
      <c r="I10" s="452">
        <f t="shared" si="1"/>
        <v>10979915</v>
      </c>
    </row>
    <row r="11" spans="1:9" s="394" customFormat="1" ht="56.25" x14ac:dyDescent="0.2">
      <c r="A11" s="453" t="s">
        <v>59</v>
      </c>
      <c r="B11" s="396" t="s">
        <v>242</v>
      </c>
      <c r="C11" s="454" t="s">
        <v>79</v>
      </c>
      <c r="D11" s="455">
        <f>152846+38903+E11</f>
        <v>230382</v>
      </c>
      <c r="E11" s="455">
        <v>38633</v>
      </c>
      <c r="F11" s="455">
        <v>37320</v>
      </c>
      <c r="G11" s="455">
        <v>36029</v>
      </c>
      <c r="H11" s="455">
        <v>34783</v>
      </c>
      <c r="I11" s="452">
        <f t="shared" si="1"/>
        <v>377147</v>
      </c>
    </row>
    <row r="12" spans="1:9" s="394" customFormat="1" ht="135" x14ac:dyDescent="0.2">
      <c r="A12" s="453" t="s">
        <v>165</v>
      </c>
      <c r="B12" s="396" t="s">
        <v>249</v>
      </c>
      <c r="C12" s="454" t="s">
        <v>79</v>
      </c>
      <c r="D12" s="455">
        <f>680190+172677+E12</f>
        <v>1017451</v>
      </c>
      <c r="E12" s="455">
        <v>164584</v>
      </c>
      <c r="F12" s="455">
        <v>158770</v>
      </c>
      <c r="G12" s="455">
        <v>153039</v>
      </c>
      <c r="H12" s="455">
        <v>147515</v>
      </c>
      <c r="I12" s="452">
        <f t="shared" si="1"/>
        <v>1641359</v>
      </c>
    </row>
    <row r="13" spans="1:9" s="394" customFormat="1" ht="22.5" x14ac:dyDescent="0.2">
      <c r="A13" s="453" t="s">
        <v>166</v>
      </c>
      <c r="B13" s="396" t="s">
        <v>243</v>
      </c>
      <c r="C13" s="454" t="s">
        <v>79</v>
      </c>
      <c r="D13" s="455">
        <f>4767104+1212586+E13</f>
        <v>7123401</v>
      </c>
      <c r="E13" s="455">
        <v>1143711</v>
      </c>
      <c r="F13" s="455">
        <v>1102901</v>
      </c>
      <c r="G13" s="455">
        <v>1062641</v>
      </c>
      <c r="H13" s="455">
        <v>1023851</v>
      </c>
      <c r="I13" s="452">
        <f t="shared" si="1"/>
        <v>11456505</v>
      </c>
    </row>
    <row r="14" spans="1:9" s="394" customFormat="1" ht="45" x14ac:dyDescent="0.2">
      <c r="A14" s="453" t="s">
        <v>266</v>
      </c>
      <c r="B14" s="396" t="s">
        <v>267</v>
      </c>
      <c r="C14" s="454" t="s">
        <v>265</v>
      </c>
      <c r="D14" s="455">
        <f>2332480+1024087+E14</f>
        <v>4323832</v>
      </c>
      <c r="E14" s="455">
        <v>967265</v>
      </c>
      <c r="F14" s="456">
        <v>933017</v>
      </c>
      <c r="G14" s="456">
        <v>899281</v>
      </c>
      <c r="H14" s="456">
        <v>866765</v>
      </c>
      <c r="I14" s="452">
        <f t="shared" si="1"/>
        <v>7990160</v>
      </c>
    </row>
    <row r="15" spans="1:9" s="394" customFormat="1" ht="69" customHeight="1" x14ac:dyDescent="0.2">
      <c r="A15" s="453" t="s">
        <v>268</v>
      </c>
      <c r="B15" s="396" t="s">
        <v>263</v>
      </c>
      <c r="C15" s="454" t="s">
        <v>265</v>
      </c>
      <c r="D15" s="455">
        <f>4041649+1866809+E15</f>
        <v>7671865</v>
      </c>
      <c r="E15" s="455">
        <v>1763407</v>
      </c>
      <c r="F15" s="456">
        <v>1701573</v>
      </c>
      <c r="G15" s="456">
        <v>1640714</v>
      </c>
      <c r="H15" s="456">
        <v>1582032</v>
      </c>
      <c r="I15" s="452">
        <f t="shared" si="1"/>
        <v>14359591</v>
      </c>
    </row>
    <row r="16" spans="1:9" s="394" customFormat="1" ht="69" customHeight="1" x14ac:dyDescent="0.2">
      <c r="A16" s="457" t="s">
        <v>269</v>
      </c>
      <c r="B16" s="458" t="s">
        <v>326</v>
      </c>
      <c r="C16" s="459" t="s">
        <v>248</v>
      </c>
      <c r="D16" s="460">
        <f>179000+E16</f>
        <v>7584704</v>
      </c>
      <c r="E16" s="460">
        <v>7405704</v>
      </c>
      <c r="F16" s="461">
        <v>7183198</v>
      </c>
      <c r="G16" s="461">
        <v>6965404</v>
      </c>
      <c r="H16" s="461">
        <v>6754213</v>
      </c>
      <c r="I16" s="452">
        <f t="shared" si="1"/>
        <v>35893223</v>
      </c>
    </row>
    <row r="17" spans="1:9" s="394" customFormat="1" ht="69" customHeight="1" x14ac:dyDescent="0.2">
      <c r="A17" s="457" t="s">
        <v>327</v>
      </c>
      <c r="B17" s="458" t="s">
        <v>386</v>
      </c>
      <c r="C17" s="459" t="s">
        <v>260</v>
      </c>
      <c r="D17" s="460"/>
      <c r="E17" s="460">
        <v>3315890</v>
      </c>
      <c r="F17" s="461">
        <v>5115377</v>
      </c>
      <c r="G17" s="461">
        <v>4970135</v>
      </c>
      <c r="H17" s="461">
        <v>4829017</v>
      </c>
      <c r="I17" s="452">
        <f t="shared" si="1"/>
        <v>18230419</v>
      </c>
    </row>
    <row r="18" spans="1:9" s="394" customFormat="1" ht="69" customHeight="1" x14ac:dyDescent="0.2">
      <c r="A18" s="457" t="s">
        <v>385</v>
      </c>
      <c r="B18" s="458" t="s">
        <v>270</v>
      </c>
      <c r="C18" s="459" t="s">
        <v>265</v>
      </c>
      <c r="D18" s="460">
        <f>703411+337472+E18</f>
        <v>1361005</v>
      </c>
      <c r="E18" s="460">
        <v>320122</v>
      </c>
      <c r="F18" s="461">
        <v>308850</v>
      </c>
      <c r="G18" s="461">
        <v>297749</v>
      </c>
      <c r="H18" s="461">
        <v>287047</v>
      </c>
      <c r="I18" s="452">
        <f t="shared" ref="I18:I21" si="2">SUM(D18:H18)</f>
        <v>2574773</v>
      </c>
    </row>
    <row r="19" spans="1:9" s="394" customFormat="1" ht="69" customHeight="1" x14ac:dyDescent="0.2">
      <c r="A19" s="457" t="s">
        <v>409</v>
      </c>
      <c r="B19" s="458" t="s">
        <v>407</v>
      </c>
      <c r="C19" s="459" t="s">
        <v>296</v>
      </c>
      <c r="D19" s="460"/>
      <c r="E19" s="460"/>
      <c r="F19" s="461">
        <v>921700</v>
      </c>
      <c r="G19" s="461">
        <v>897660</v>
      </c>
      <c r="H19" s="461">
        <v>873000</v>
      </c>
      <c r="I19" s="452">
        <f t="shared" si="2"/>
        <v>2692360</v>
      </c>
    </row>
    <row r="20" spans="1:9" s="394" customFormat="1" ht="69" customHeight="1" x14ac:dyDescent="0.2">
      <c r="A20" s="457" t="s">
        <v>410</v>
      </c>
      <c r="B20" s="458" t="s">
        <v>363</v>
      </c>
      <c r="C20" s="459" t="s">
        <v>296</v>
      </c>
      <c r="D20" s="460"/>
      <c r="E20" s="460"/>
      <c r="F20" s="461">
        <v>945252</v>
      </c>
      <c r="G20" s="461">
        <v>920000</v>
      </c>
      <c r="H20" s="461">
        <v>894710</v>
      </c>
      <c r="I20" s="452">
        <f t="shared" ref="I20" si="3">SUM(D20:H20)</f>
        <v>2759962</v>
      </c>
    </row>
    <row r="21" spans="1:9" s="394" customFormat="1" ht="60" customHeight="1" thickBot="1" x14ac:dyDescent="0.25">
      <c r="A21" s="457" t="s">
        <v>413</v>
      </c>
      <c r="B21" s="458" t="s">
        <v>412</v>
      </c>
      <c r="C21" s="459" t="s">
        <v>296</v>
      </c>
      <c r="D21" s="460"/>
      <c r="E21" s="460">
        <v>338159</v>
      </c>
      <c r="F21" s="461">
        <v>5533397</v>
      </c>
      <c r="G21" s="461">
        <v>5419331</v>
      </c>
      <c r="H21" s="461">
        <v>5229498</v>
      </c>
      <c r="I21" s="452">
        <f t="shared" si="2"/>
        <v>16520385</v>
      </c>
    </row>
    <row r="22" spans="1:9" s="394" customFormat="1" ht="23.25" thickBot="1" x14ac:dyDescent="0.25">
      <c r="A22" s="462" t="s">
        <v>10</v>
      </c>
      <c r="B22" s="463" t="s">
        <v>65</v>
      </c>
      <c r="C22" s="464" t="s">
        <v>240</v>
      </c>
      <c r="D22" s="464">
        <f t="shared" ref="D22:I22" si="4">SUM(D23:D37)</f>
        <v>1428098267</v>
      </c>
      <c r="E22" s="464">
        <f t="shared" si="4"/>
        <v>721542195</v>
      </c>
      <c r="F22" s="464">
        <f t="shared" si="4"/>
        <v>0</v>
      </c>
      <c r="G22" s="464">
        <f t="shared" si="4"/>
        <v>0</v>
      </c>
      <c r="H22" s="464">
        <f t="shared" si="4"/>
        <v>0</v>
      </c>
      <c r="I22" s="464">
        <f t="shared" si="4"/>
        <v>2149640462</v>
      </c>
    </row>
    <row r="23" spans="1:9" s="394" customFormat="1" ht="60.75" customHeight="1" thickBot="1" x14ac:dyDescent="0.25">
      <c r="A23" s="539" t="s">
        <v>50</v>
      </c>
      <c r="B23" s="492" t="s">
        <v>331</v>
      </c>
      <c r="C23" s="493" t="s">
        <v>248</v>
      </c>
      <c r="D23" s="493">
        <v>90154689</v>
      </c>
      <c r="E23" s="493">
        <v>15909654</v>
      </c>
      <c r="F23" s="493"/>
      <c r="G23" s="493"/>
      <c r="H23" s="493"/>
      <c r="I23" s="494">
        <f>SUM(D23:H23)</f>
        <v>106064343</v>
      </c>
    </row>
    <row r="24" spans="1:9" s="394" customFormat="1" ht="34.5" thickBot="1" x14ac:dyDescent="0.25">
      <c r="A24" s="539" t="s">
        <v>51</v>
      </c>
      <c r="B24" s="492" t="s">
        <v>329</v>
      </c>
      <c r="C24" s="493" t="s">
        <v>248</v>
      </c>
      <c r="D24" s="493">
        <v>1190677362</v>
      </c>
      <c r="E24" s="493">
        <v>553325304</v>
      </c>
      <c r="F24" s="493"/>
      <c r="G24" s="493"/>
      <c r="H24" s="493"/>
      <c r="I24" s="494">
        <f t="shared" ref="I24:I37" si="5">SUM(D24:H24)</f>
        <v>1744002666</v>
      </c>
    </row>
    <row r="25" spans="1:9" s="394" customFormat="1" ht="34.5" thickBot="1" x14ac:dyDescent="0.25">
      <c r="A25" s="539" t="s">
        <v>395</v>
      </c>
      <c r="B25" s="492" t="s">
        <v>393</v>
      </c>
      <c r="C25" s="493" t="s">
        <v>260</v>
      </c>
      <c r="D25" s="493">
        <v>3043926</v>
      </c>
      <c r="E25" s="493">
        <v>7102494</v>
      </c>
      <c r="F25" s="493"/>
      <c r="G25" s="493"/>
      <c r="H25" s="493"/>
      <c r="I25" s="494">
        <f t="shared" si="5"/>
        <v>10146420</v>
      </c>
    </row>
    <row r="26" spans="1:9" s="394" customFormat="1" ht="57" thickBot="1" x14ac:dyDescent="0.25">
      <c r="A26" s="539" t="s">
        <v>167</v>
      </c>
      <c r="B26" s="492" t="s">
        <v>337</v>
      </c>
      <c r="C26" s="493" t="s">
        <v>248</v>
      </c>
      <c r="D26" s="493">
        <v>203200</v>
      </c>
      <c r="E26" s="493">
        <v>2083435</v>
      </c>
      <c r="F26" s="493"/>
      <c r="G26" s="493"/>
      <c r="H26" s="493"/>
      <c r="I26" s="494">
        <f t="shared" si="5"/>
        <v>2286635</v>
      </c>
    </row>
    <row r="27" spans="1:9" s="394" customFormat="1" ht="45.75" thickBot="1" x14ac:dyDescent="0.25">
      <c r="A27" s="539" t="s">
        <v>168</v>
      </c>
      <c r="B27" s="492" t="s">
        <v>392</v>
      </c>
      <c r="C27" s="493" t="s">
        <v>260</v>
      </c>
      <c r="D27" s="493">
        <v>1375000</v>
      </c>
      <c r="E27" s="493">
        <v>1025750</v>
      </c>
      <c r="F27" s="493"/>
      <c r="G27" s="493"/>
      <c r="H27" s="493"/>
      <c r="I27" s="494">
        <f t="shared" si="5"/>
        <v>2400750</v>
      </c>
    </row>
    <row r="28" spans="1:9" s="394" customFormat="1" ht="79.5" thickBot="1" x14ac:dyDescent="0.25">
      <c r="A28" s="539" t="s">
        <v>271</v>
      </c>
      <c r="B28" s="492" t="s">
        <v>330</v>
      </c>
      <c r="C28" s="493" t="s">
        <v>248</v>
      </c>
      <c r="D28" s="493"/>
      <c r="E28" s="493">
        <v>170000</v>
      </c>
      <c r="F28" s="493"/>
      <c r="G28" s="493"/>
      <c r="H28" s="493"/>
      <c r="I28" s="494">
        <f t="shared" si="5"/>
        <v>170000</v>
      </c>
    </row>
    <row r="29" spans="1:9" s="394" customFormat="1" ht="45.75" thickBot="1" x14ac:dyDescent="0.25">
      <c r="A29" s="539" t="s">
        <v>317</v>
      </c>
      <c r="B29" s="492" t="s">
        <v>394</v>
      </c>
      <c r="C29" s="493" t="s">
        <v>260</v>
      </c>
      <c r="D29" s="493">
        <v>85284357</v>
      </c>
      <c r="E29" s="493">
        <v>38247232</v>
      </c>
      <c r="F29" s="493"/>
      <c r="G29" s="493"/>
      <c r="H29" s="493"/>
      <c r="I29" s="494">
        <f t="shared" si="5"/>
        <v>123531589</v>
      </c>
    </row>
    <row r="30" spans="1:9" s="394" customFormat="1" ht="45.75" thickBot="1" x14ac:dyDescent="0.25">
      <c r="A30" s="539" t="s">
        <v>328</v>
      </c>
      <c r="B30" s="492" t="s">
        <v>332</v>
      </c>
      <c r="C30" s="493" t="s">
        <v>247</v>
      </c>
      <c r="D30" s="493">
        <v>16510000</v>
      </c>
      <c r="E30" s="493">
        <v>5490000</v>
      </c>
      <c r="F30" s="493"/>
      <c r="G30" s="493"/>
      <c r="H30" s="493"/>
      <c r="I30" s="494">
        <f t="shared" si="5"/>
        <v>22000000</v>
      </c>
    </row>
    <row r="31" spans="1:9" s="394" customFormat="1" ht="57" thickBot="1" x14ac:dyDescent="0.25">
      <c r="A31" s="539" t="s">
        <v>334</v>
      </c>
      <c r="B31" s="492" t="s">
        <v>333</v>
      </c>
      <c r="C31" s="493" t="s">
        <v>247</v>
      </c>
      <c r="D31" s="493"/>
      <c r="E31" s="493">
        <v>1403350</v>
      </c>
      <c r="F31" s="493"/>
      <c r="G31" s="493"/>
      <c r="H31" s="493"/>
      <c r="I31" s="494">
        <f t="shared" si="5"/>
        <v>1403350</v>
      </c>
    </row>
    <row r="32" spans="1:9" s="394" customFormat="1" ht="57" thickBot="1" x14ac:dyDescent="0.25">
      <c r="A32" s="539" t="s">
        <v>335</v>
      </c>
      <c r="B32" s="492" t="s">
        <v>338</v>
      </c>
      <c r="C32" s="493" t="s">
        <v>247</v>
      </c>
      <c r="D32" s="493"/>
      <c r="E32" s="493">
        <v>5500000</v>
      </c>
      <c r="F32" s="493"/>
      <c r="G32" s="493"/>
      <c r="H32" s="493"/>
      <c r="I32" s="494">
        <f t="shared" si="5"/>
        <v>5500000</v>
      </c>
    </row>
    <row r="33" spans="1:9" s="394" customFormat="1" ht="79.5" thickBot="1" x14ac:dyDescent="0.25">
      <c r="A33" s="539" t="s">
        <v>336</v>
      </c>
      <c r="B33" s="492" t="s">
        <v>339</v>
      </c>
      <c r="C33" s="493" t="s">
        <v>247</v>
      </c>
      <c r="D33" s="493"/>
      <c r="E33" s="493">
        <v>4445000</v>
      </c>
      <c r="F33" s="493"/>
      <c r="G33" s="493"/>
      <c r="H33" s="493"/>
      <c r="I33" s="494">
        <f t="shared" si="5"/>
        <v>4445000</v>
      </c>
    </row>
    <row r="34" spans="1:9" s="394" customFormat="1" ht="23.25" thickBot="1" x14ac:dyDescent="0.25">
      <c r="A34" s="539" t="s">
        <v>387</v>
      </c>
      <c r="B34" s="492" t="s">
        <v>308</v>
      </c>
      <c r="C34" s="493" t="s">
        <v>260</v>
      </c>
      <c r="D34" s="493">
        <v>7250000</v>
      </c>
      <c r="E34" s="493">
        <v>3750000</v>
      </c>
      <c r="F34" s="493"/>
      <c r="G34" s="493"/>
      <c r="H34" s="493"/>
      <c r="I34" s="494">
        <f t="shared" si="5"/>
        <v>11000000</v>
      </c>
    </row>
    <row r="35" spans="1:9" s="394" customFormat="1" ht="23.25" thickBot="1" x14ac:dyDescent="0.25">
      <c r="A35" s="539" t="s">
        <v>396</v>
      </c>
      <c r="B35" s="492" t="s">
        <v>391</v>
      </c>
      <c r="C35" s="493">
        <v>2019</v>
      </c>
      <c r="D35" s="493">
        <v>30899733</v>
      </c>
      <c r="E35" s="493">
        <v>72099376</v>
      </c>
      <c r="F35" s="493"/>
      <c r="G35" s="493"/>
      <c r="H35" s="493"/>
      <c r="I35" s="494">
        <f t="shared" si="5"/>
        <v>102999109</v>
      </c>
    </row>
    <row r="36" spans="1:9" s="394" customFormat="1" ht="79.5" thickBot="1" x14ac:dyDescent="0.25">
      <c r="A36" s="539" t="s">
        <v>397</v>
      </c>
      <c r="B36" s="492" t="s">
        <v>340</v>
      </c>
      <c r="C36" s="493" t="s">
        <v>247</v>
      </c>
      <c r="D36" s="493"/>
      <c r="E36" s="493">
        <v>990600</v>
      </c>
      <c r="F36" s="493"/>
      <c r="G36" s="493"/>
      <c r="H36" s="493"/>
      <c r="I36" s="494">
        <f t="shared" si="5"/>
        <v>990600</v>
      </c>
    </row>
    <row r="37" spans="1:9" s="394" customFormat="1" ht="23.25" thickBot="1" x14ac:dyDescent="0.25">
      <c r="A37" s="539" t="s">
        <v>398</v>
      </c>
      <c r="B37" s="492" t="s">
        <v>323</v>
      </c>
      <c r="C37" s="493">
        <v>2019</v>
      </c>
      <c r="D37" s="493">
        <v>2700000</v>
      </c>
      <c r="E37" s="493">
        <v>10000000</v>
      </c>
      <c r="F37" s="493"/>
      <c r="G37" s="493"/>
      <c r="H37" s="493"/>
      <c r="I37" s="494">
        <f t="shared" si="5"/>
        <v>12700000</v>
      </c>
    </row>
    <row r="38" spans="1:9" s="394" customFormat="1" ht="69" customHeight="1" thickBot="1" x14ac:dyDescent="0.25">
      <c r="A38" s="395" t="s">
        <v>4</v>
      </c>
      <c r="B38" s="383" t="s">
        <v>70</v>
      </c>
      <c r="C38" s="383"/>
      <c r="D38" s="383">
        <f t="shared" ref="D38:I38" si="6">SUM(D39:D63)</f>
        <v>98902228</v>
      </c>
      <c r="E38" s="383">
        <f t="shared" si="6"/>
        <v>21766734</v>
      </c>
      <c r="F38" s="383">
        <f t="shared" si="6"/>
        <v>13232162</v>
      </c>
      <c r="G38" s="383">
        <f t="shared" si="6"/>
        <v>13232162</v>
      </c>
      <c r="H38" s="383">
        <f t="shared" si="6"/>
        <v>13232162</v>
      </c>
      <c r="I38" s="384">
        <f t="shared" si="6"/>
        <v>160365448</v>
      </c>
    </row>
    <row r="39" spans="1:9" s="489" customFormat="1" ht="45" x14ac:dyDescent="0.2">
      <c r="A39" s="484" t="s">
        <v>169</v>
      </c>
      <c r="B39" s="485" t="s">
        <v>316</v>
      </c>
      <c r="C39" s="486" t="s">
        <v>305</v>
      </c>
      <c r="D39" s="486">
        <v>1000000</v>
      </c>
      <c r="E39" s="486"/>
      <c r="F39" s="487"/>
      <c r="G39" s="487"/>
      <c r="H39" s="487"/>
      <c r="I39" s="488">
        <f>D39+E39+F39+G39+H39</f>
        <v>1000000</v>
      </c>
    </row>
    <row r="40" spans="1:9" s="489" customFormat="1" ht="11.25" x14ac:dyDescent="0.2">
      <c r="A40" s="453" t="s">
        <v>170</v>
      </c>
      <c r="B40" s="465" t="s">
        <v>102</v>
      </c>
      <c r="C40" s="454" t="s">
        <v>77</v>
      </c>
      <c r="D40" s="455">
        <v>5064360</v>
      </c>
      <c r="E40" s="455">
        <v>868680</v>
      </c>
      <c r="F40" s="455">
        <v>868680</v>
      </c>
      <c r="G40" s="455">
        <v>868680</v>
      </c>
      <c r="H40" s="455">
        <v>868680</v>
      </c>
      <c r="I40" s="452">
        <f t="shared" ref="I40:I45" si="7">D40+E40+F40+G40+H40</f>
        <v>8539080</v>
      </c>
    </row>
    <row r="41" spans="1:9" s="489" customFormat="1" ht="22.5" x14ac:dyDescent="0.2">
      <c r="A41" s="453" t="s">
        <v>171</v>
      </c>
      <c r="B41" s="465" t="s">
        <v>162</v>
      </c>
      <c r="C41" s="454" t="s">
        <v>161</v>
      </c>
      <c r="D41" s="455">
        <v>7040000</v>
      </c>
      <c r="E41" s="455">
        <v>1200000</v>
      </c>
      <c r="F41" s="455">
        <v>1200000</v>
      </c>
      <c r="G41" s="455">
        <v>1200000</v>
      </c>
      <c r="H41" s="455">
        <v>1200000</v>
      </c>
      <c r="I41" s="452">
        <f t="shared" si="7"/>
        <v>11840000</v>
      </c>
    </row>
    <row r="42" spans="1:9" s="489" customFormat="1" ht="33.75" x14ac:dyDescent="0.2">
      <c r="A42" s="453" t="s">
        <v>172</v>
      </c>
      <c r="B42" s="465" t="s">
        <v>163</v>
      </c>
      <c r="C42" s="454" t="s">
        <v>78</v>
      </c>
      <c r="D42" s="455">
        <f>3960000+660000</f>
        <v>4620000</v>
      </c>
      <c r="E42" s="455">
        <v>660000</v>
      </c>
      <c r="F42" s="455">
        <v>660000</v>
      </c>
      <c r="G42" s="455">
        <v>660000</v>
      </c>
      <c r="H42" s="455">
        <v>660000</v>
      </c>
      <c r="I42" s="452">
        <f t="shared" si="7"/>
        <v>7260000</v>
      </c>
    </row>
    <row r="43" spans="1:9" s="489" customFormat="1" ht="11.25" x14ac:dyDescent="0.2">
      <c r="A43" s="453" t="s">
        <v>244</v>
      </c>
      <c r="B43" s="465" t="s">
        <v>164</v>
      </c>
      <c r="C43" s="454" t="s">
        <v>161</v>
      </c>
      <c r="D43" s="455">
        <f>10035000+1905000</f>
        <v>11940000</v>
      </c>
      <c r="E43" s="455">
        <v>1500000</v>
      </c>
      <c r="F43" s="455">
        <v>1500000</v>
      </c>
      <c r="G43" s="455">
        <v>1500000</v>
      </c>
      <c r="H43" s="455">
        <v>1500000</v>
      </c>
      <c r="I43" s="452">
        <f t="shared" si="7"/>
        <v>17940000</v>
      </c>
    </row>
    <row r="44" spans="1:9" s="489" customFormat="1" ht="22.5" x14ac:dyDescent="0.2">
      <c r="A44" s="457" t="s">
        <v>173</v>
      </c>
      <c r="B44" s="466" t="s">
        <v>272</v>
      </c>
      <c r="C44" s="459" t="s">
        <v>265</v>
      </c>
      <c r="D44" s="460">
        <v>3112000</v>
      </c>
      <c r="E44" s="460">
        <v>762000</v>
      </c>
      <c r="F44" s="460">
        <v>762000</v>
      </c>
      <c r="G44" s="460">
        <v>762000</v>
      </c>
      <c r="H44" s="460">
        <v>762000</v>
      </c>
      <c r="I44" s="452">
        <f t="shared" si="7"/>
        <v>6160000</v>
      </c>
    </row>
    <row r="45" spans="1:9" s="489" customFormat="1" ht="11.25" x14ac:dyDescent="0.2">
      <c r="A45" s="453" t="s">
        <v>174</v>
      </c>
      <c r="B45" s="465" t="s">
        <v>185</v>
      </c>
      <c r="C45" s="454" t="s">
        <v>186</v>
      </c>
      <c r="D45" s="455">
        <v>38182564</v>
      </c>
      <c r="E45" s="455">
        <v>3873672</v>
      </c>
      <c r="F45" s="455">
        <v>3873672</v>
      </c>
      <c r="G45" s="455">
        <v>3873672</v>
      </c>
      <c r="H45" s="455">
        <v>3873672</v>
      </c>
      <c r="I45" s="452">
        <f t="shared" si="7"/>
        <v>53677252</v>
      </c>
    </row>
    <row r="46" spans="1:9" s="489" customFormat="1" ht="22.5" x14ac:dyDescent="0.2">
      <c r="A46" s="453" t="s">
        <v>175</v>
      </c>
      <c r="B46" s="465" t="s">
        <v>189</v>
      </c>
      <c r="C46" s="454" t="s">
        <v>161</v>
      </c>
      <c r="D46" s="455">
        <f>956000+162000</f>
        <v>1118000</v>
      </c>
      <c r="E46" s="455">
        <v>162000</v>
      </c>
      <c r="F46" s="455">
        <v>162000</v>
      </c>
      <c r="G46" s="455">
        <v>162000</v>
      </c>
      <c r="H46" s="455">
        <v>162000</v>
      </c>
      <c r="I46" s="490">
        <f t="shared" ref="I46:I63" si="8">SUM(D46:H46)</f>
        <v>1766000</v>
      </c>
    </row>
    <row r="47" spans="1:9" s="489" customFormat="1" ht="22.5" x14ac:dyDescent="0.2">
      <c r="A47" s="453" t="s">
        <v>176</v>
      </c>
      <c r="B47" s="465" t="s">
        <v>191</v>
      </c>
      <c r="C47" s="454" t="s">
        <v>78</v>
      </c>
      <c r="D47" s="455">
        <f>1077500+139500</f>
        <v>1217000</v>
      </c>
      <c r="E47" s="455">
        <v>139500</v>
      </c>
      <c r="F47" s="455">
        <v>139500</v>
      </c>
      <c r="G47" s="455">
        <v>139500</v>
      </c>
      <c r="H47" s="455">
        <v>139500</v>
      </c>
      <c r="I47" s="490">
        <f t="shared" si="8"/>
        <v>1775000</v>
      </c>
    </row>
    <row r="48" spans="1:9" s="489" customFormat="1" ht="22.5" x14ac:dyDescent="0.2">
      <c r="A48" s="453" t="s">
        <v>181</v>
      </c>
      <c r="B48" s="465" t="s">
        <v>325</v>
      </c>
      <c r="C48" s="454" t="s">
        <v>78</v>
      </c>
      <c r="D48" s="455">
        <f>2728680+624840</f>
        <v>3353520</v>
      </c>
      <c r="E48" s="455">
        <v>624840</v>
      </c>
      <c r="F48" s="455">
        <v>624840</v>
      </c>
      <c r="G48" s="455">
        <v>624840</v>
      </c>
      <c r="H48" s="455">
        <v>624840</v>
      </c>
      <c r="I48" s="490">
        <f t="shared" si="8"/>
        <v>5852880</v>
      </c>
    </row>
    <row r="49" spans="1:9" s="489" customFormat="1" ht="22.5" x14ac:dyDescent="0.2">
      <c r="A49" s="453" t="s">
        <v>184</v>
      </c>
      <c r="B49" s="465" t="s">
        <v>194</v>
      </c>
      <c r="C49" s="454" t="s">
        <v>161</v>
      </c>
      <c r="D49" s="455">
        <f>296750+83000</f>
        <v>379750</v>
      </c>
      <c r="E49" s="455">
        <v>83000</v>
      </c>
      <c r="F49" s="455">
        <v>83000</v>
      </c>
      <c r="G49" s="455">
        <v>83000</v>
      </c>
      <c r="H49" s="455">
        <v>83000</v>
      </c>
      <c r="I49" s="490">
        <f t="shared" si="8"/>
        <v>711750</v>
      </c>
    </row>
    <row r="50" spans="1:9" s="489" customFormat="1" ht="22.5" x14ac:dyDescent="0.2">
      <c r="A50" s="453" t="s">
        <v>187</v>
      </c>
      <c r="B50" s="465" t="s">
        <v>195</v>
      </c>
      <c r="C50" s="454" t="s">
        <v>78</v>
      </c>
      <c r="D50" s="455">
        <v>1732218</v>
      </c>
      <c r="E50" s="455">
        <v>220218</v>
      </c>
      <c r="F50" s="455">
        <v>220218</v>
      </c>
      <c r="G50" s="455">
        <v>220218</v>
      </c>
      <c r="H50" s="455">
        <v>220218</v>
      </c>
      <c r="I50" s="490">
        <f t="shared" si="8"/>
        <v>2613090</v>
      </c>
    </row>
    <row r="51" spans="1:9" s="489" customFormat="1" ht="33.75" x14ac:dyDescent="0.2">
      <c r="A51" s="453" t="s">
        <v>188</v>
      </c>
      <c r="B51" s="465" t="s">
        <v>197</v>
      </c>
      <c r="C51" s="454" t="s">
        <v>78</v>
      </c>
      <c r="D51" s="455">
        <v>253000</v>
      </c>
      <c r="E51" s="455">
        <v>32000</v>
      </c>
      <c r="F51" s="455">
        <v>32000</v>
      </c>
      <c r="G51" s="455">
        <v>32000</v>
      </c>
      <c r="H51" s="455">
        <v>32000</v>
      </c>
      <c r="I51" s="490">
        <f t="shared" si="8"/>
        <v>381000</v>
      </c>
    </row>
    <row r="52" spans="1:9" s="489" customFormat="1" ht="22.5" x14ac:dyDescent="0.2">
      <c r="A52" s="453" t="s">
        <v>190</v>
      </c>
      <c r="B52" s="465" t="s">
        <v>201</v>
      </c>
      <c r="C52" s="454" t="s">
        <v>78</v>
      </c>
      <c r="D52" s="455">
        <v>297720</v>
      </c>
      <c r="E52" s="455">
        <v>45720</v>
      </c>
      <c r="F52" s="455">
        <v>45720</v>
      </c>
      <c r="G52" s="455">
        <v>45720</v>
      </c>
      <c r="H52" s="455">
        <v>45720</v>
      </c>
      <c r="I52" s="490">
        <f t="shared" si="8"/>
        <v>480600</v>
      </c>
    </row>
    <row r="53" spans="1:9" s="489" customFormat="1" ht="11.25" x14ac:dyDescent="0.2">
      <c r="A53" s="453" t="s">
        <v>192</v>
      </c>
      <c r="B53" s="465" t="s">
        <v>273</v>
      </c>
      <c r="C53" s="454" t="s">
        <v>78</v>
      </c>
      <c r="D53" s="455">
        <v>682924</v>
      </c>
      <c r="E53" s="455">
        <v>153924</v>
      </c>
      <c r="F53" s="455">
        <v>153924</v>
      </c>
      <c r="G53" s="455">
        <v>153924</v>
      </c>
      <c r="H53" s="455">
        <v>153924</v>
      </c>
      <c r="I53" s="490">
        <f t="shared" si="8"/>
        <v>1298620</v>
      </c>
    </row>
    <row r="54" spans="1:9" s="489" customFormat="1" ht="45" x14ac:dyDescent="0.2">
      <c r="A54" s="453" t="s">
        <v>193</v>
      </c>
      <c r="B54" s="465" t="s">
        <v>245</v>
      </c>
      <c r="C54" s="454" t="s">
        <v>78</v>
      </c>
      <c r="D54" s="455">
        <v>4917592</v>
      </c>
      <c r="E54" s="455">
        <v>1032288</v>
      </c>
      <c r="F54" s="455">
        <v>1032288</v>
      </c>
      <c r="G54" s="455">
        <v>1032288</v>
      </c>
      <c r="H54" s="455">
        <v>1032288</v>
      </c>
      <c r="I54" s="490">
        <f t="shared" si="8"/>
        <v>9046744</v>
      </c>
    </row>
    <row r="55" spans="1:9" s="489" customFormat="1" ht="45" x14ac:dyDescent="0.2">
      <c r="A55" s="453" t="s">
        <v>196</v>
      </c>
      <c r="B55" s="465" t="s">
        <v>274</v>
      </c>
      <c r="C55" s="454" t="s">
        <v>79</v>
      </c>
      <c r="D55" s="455">
        <v>5413650</v>
      </c>
      <c r="E55" s="455">
        <v>882650</v>
      </c>
      <c r="F55" s="455">
        <v>882650</v>
      </c>
      <c r="G55" s="455">
        <v>882650</v>
      </c>
      <c r="H55" s="455">
        <v>882650</v>
      </c>
      <c r="I55" s="490">
        <f t="shared" si="8"/>
        <v>8944250</v>
      </c>
    </row>
    <row r="56" spans="1:9" s="489" customFormat="1" ht="33.75" x14ac:dyDescent="0.2">
      <c r="A56" s="453" t="s">
        <v>198</v>
      </c>
      <c r="B56" s="465" t="s">
        <v>246</v>
      </c>
      <c r="C56" s="454" t="s">
        <v>78</v>
      </c>
      <c r="D56" s="455">
        <v>1140000</v>
      </c>
      <c r="E56" s="455">
        <v>228000</v>
      </c>
      <c r="F56" s="455">
        <v>228000</v>
      </c>
      <c r="G56" s="455">
        <v>228000</v>
      </c>
      <c r="H56" s="455">
        <v>228000</v>
      </c>
      <c r="I56" s="490">
        <f t="shared" si="8"/>
        <v>2052000</v>
      </c>
    </row>
    <row r="57" spans="1:9" s="489" customFormat="1" ht="22.5" x14ac:dyDescent="0.2">
      <c r="A57" s="453" t="s">
        <v>199</v>
      </c>
      <c r="B57" s="465" t="s">
        <v>275</v>
      </c>
      <c r="C57" s="454" t="s">
        <v>265</v>
      </c>
      <c r="D57" s="455">
        <v>189720</v>
      </c>
      <c r="E57" s="455">
        <v>45720</v>
      </c>
      <c r="F57" s="455">
        <v>45720</v>
      </c>
      <c r="G57" s="455">
        <v>45720</v>
      </c>
      <c r="H57" s="455">
        <v>45720</v>
      </c>
      <c r="I57" s="490">
        <f t="shared" si="8"/>
        <v>372600</v>
      </c>
    </row>
    <row r="58" spans="1:9" s="489" customFormat="1" ht="22.5" x14ac:dyDescent="0.2">
      <c r="A58" s="457" t="s">
        <v>200</v>
      </c>
      <c r="B58" s="466" t="s">
        <v>388</v>
      </c>
      <c r="C58" s="459" t="s">
        <v>260</v>
      </c>
      <c r="D58" s="460">
        <v>38100</v>
      </c>
      <c r="E58" s="460">
        <f>152400+100000</f>
        <v>252400</v>
      </c>
      <c r="F58" s="460">
        <v>152400</v>
      </c>
      <c r="G58" s="460">
        <v>152400</v>
      </c>
      <c r="H58" s="460">
        <v>152400</v>
      </c>
      <c r="I58" s="490">
        <f t="shared" si="8"/>
        <v>747700</v>
      </c>
    </row>
    <row r="59" spans="1:9" s="489" customFormat="1" ht="11.25" x14ac:dyDescent="0.2">
      <c r="A59" s="457" t="s">
        <v>401</v>
      </c>
      <c r="B59" s="466" t="s">
        <v>389</v>
      </c>
      <c r="C59" s="459" t="s">
        <v>260</v>
      </c>
      <c r="D59" s="460"/>
      <c r="E59" s="460">
        <v>133750</v>
      </c>
      <c r="F59" s="460">
        <v>133750</v>
      </c>
      <c r="G59" s="460">
        <v>133750</v>
      </c>
      <c r="H59" s="460">
        <v>133750</v>
      </c>
      <c r="I59" s="490">
        <f t="shared" si="8"/>
        <v>535000</v>
      </c>
    </row>
    <row r="60" spans="1:9" s="489" customFormat="1" ht="11.25" x14ac:dyDescent="0.2">
      <c r="A60" s="457" t="s">
        <v>402</v>
      </c>
      <c r="B60" s="466" t="s">
        <v>390</v>
      </c>
      <c r="C60" s="459">
        <v>2018</v>
      </c>
      <c r="D60" s="460">
        <v>6711310</v>
      </c>
      <c r="E60" s="460">
        <v>8053572</v>
      </c>
      <c r="F60" s="460"/>
      <c r="G60" s="460"/>
      <c r="H60" s="460"/>
      <c r="I60" s="490">
        <f t="shared" si="8"/>
        <v>14764882</v>
      </c>
    </row>
    <row r="61" spans="1:9" s="489" customFormat="1" ht="33.75" x14ac:dyDescent="0.2">
      <c r="A61" s="457" t="s">
        <v>403</v>
      </c>
      <c r="B61" s="466" t="s">
        <v>400</v>
      </c>
      <c r="C61" s="459" t="s">
        <v>260</v>
      </c>
      <c r="D61" s="460"/>
      <c r="E61" s="460">
        <f>317500+228600</f>
        <v>546100</v>
      </c>
      <c r="F61" s="460">
        <v>228600</v>
      </c>
      <c r="G61" s="460">
        <v>228600</v>
      </c>
      <c r="H61" s="460">
        <v>228600</v>
      </c>
      <c r="I61" s="490">
        <f t="shared" si="8"/>
        <v>1231900</v>
      </c>
    </row>
    <row r="62" spans="1:9" s="489" customFormat="1" ht="33.75" x14ac:dyDescent="0.2">
      <c r="A62" s="457" t="s">
        <v>404</v>
      </c>
      <c r="B62" s="466" t="s">
        <v>399</v>
      </c>
      <c r="C62" s="459" t="s">
        <v>260</v>
      </c>
      <c r="D62" s="460"/>
      <c r="E62" s="460">
        <f>63500+152400</f>
        <v>215900</v>
      </c>
      <c r="F62" s="460">
        <v>152400</v>
      </c>
      <c r="G62" s="460">
        <v>152400</v>
      </c>
      <c r="H62" s="460">
        <v>152400</v>
      </c>
      <c r="I62" s="490">
        <f t="shared" si="8"/>
        <v>673100</v>
      </c>
    </row>
    <row r="63" spans="1:9" s="489" customFormat="1" ht="22.5" x14ac:dyDescent="0.2">
      <c r="A63" s="457" t="s">
        <v>405</v>
      </c>
      <c r="B63" s="466" t="s">
        <v>276</v>
      </c>
      <c r="C63" s="459" t="s">
        <v>265</v>
      </c>
      <c r="D63" s="460">
        <v>498800</v>
      </c>
      <c r="E63" s="460">
        <v>50800</v>
      </c>
      <c r="F63" s="460">
        <v>50800</v>
      </c>
      <c r="G63" s="460">
        <v>50800</v>
      </c>
      <c r="H63" s="460">
        <v>50800</v>
      </c>
      <c r="I63" s="491">
        <f t="shared" si="8"/>
        <v>702000</v>
      </c>
    </row>
    <row r="64" spans="1:9" s="297" customFormat="1" ht="69" customHeight="1" x14ac:dyDescent="0.2">
      <c r="A64" s="603" t="s">
        <v>25</v>
      </c>
      <c r="B64" s="603"/>
      <c r="C64" s="467"/>
      <c r="D64" s="468">
        <f t="shared" ref="D64:I64" si="9">D38+D22+D7</f>
        <v>1580343222</v>
      </c>
      <c r="E64" s="468">
        <f t="shared" si="9"/>
        <v>763523252</v>
      </c>
      <c r="F64" s="468">
        <f t="shared" si="9"/>
        <v>41760780</v>
      </c>
      <c r="G64" s="468">
        <f t="shared" si="9"/>
        <v>40914234</v>
      </c>
      <c r="H64" s="468">
        <f t="shared" si="9"/>
        <v>40013605</v>
      </c>
      <c r="I64" s="468">
        <f t="shared" si="9"/>
        <v>2466555093</v>
      </c>
    </row>
    <row r="65" spans="1:9" s="297" customFormat="1" ht="69" customHeight="1" x14ac:dyDescent="0.2">
      <c r="A65"/>
      <c r="B65"/>
      <c r="C65"/>
      <c r="D65"/>
      <c r="E65"/>
      <c r="F65"/>
      <c r="G65"/>
      <c r="H65"/>
      <c r="I65"/>
    </row>
    <row r="66" spans="1:9" s="297" customFormat="1" ht="69" customHeight="1" x14ac:dyDescent="0.2">
      <c r="A66"/>
      <c r="B66"/>
      <c r="C66"/>
      <c r="D66"/>
      <c r="E66"/>
      <c r="F66"/>
      <c r="G66"/>
      <c r="H66"/>
      <c r="I66"/>
    </row>
    <row r="67" spans="1:9" s="297" customFormat="1" ht="69" customHeight="1" x14ac:dyDescent="0.2">
      <c r="A67"/>
      <c r="B67"/>
      <c r="C67"/>
      <c r="D67"/>
      <c r="E67"/>
      <c r="F67"/>
      <c r="G67"/>
      <c r="H67"/>
      <c r="I67"/>
    </row>
    <row r="68" spans="1:9" s="297" customFormat="1" ht="69" customHeight="1" x14ac:dyDescent="0.2">
      <c r="A68"/>
      <c r="B68"/>
      <c r="C68"/>
      <c r="D68"/>
      <c r="E68"/>
      <c r="F68"/>
      <c r="G68"/>
      <c r="H68"/>
      <c r="I68"/>
    </row>
    <row r="69" spans="1:9" s="297" customFormat="1" ht="69" customHeight="1" x14ac:dyDescent="0.2">
      <c r="A69"/>
      <c r="B69"/>
      <c r="C69"/>
      <c r="D69"/>
      <c r="E69"/>
      <c r="F69"/>
      <c r="G69"/>
      <c r="H69"/>
      <c r="I69"/>
    </row>
    <row r="70" spans="1:9" s="297" customFormat="1" ht="69" customHeight="1" x14ac:dyDescent="0.2">
      <c r="A70"/>
      <c r="B70"/>
      <c r="C70"/>
      <c r="D70"/>
      <c r="E70"/>
      <c r="F70"/>
      <c r="G70"/>
      <c r="H70"/>
      <c r="I70"/>
    </row>
    <row r="71" spans="1:9" s="297" customFormat="1" ht="69" customHeight="1" x14ac:dyDescent="0.2">
      <c r="A71"/>
      <c r="B71"/>
      <c r="C71"/>
      <c r="D71"/>
      <c r="E71"/>
      <c r="F71"/>
      <c r="G71"/>
      <c r="H71"/>
      <c r="I71"/>
    </row>
    <row r="72" spans="1:9" s="297" customFormat="1" ht="69" customHeight="1" x14ac:dyDescent="0.2">
      <c r="A72"/>
      <c r="B72"/>
      <c r="C72"/>
      <c r="D72"/>
      <c r="E72"/>
      <c r="F72"/>
      <c r="G72"/>
      <c r="H72"/>
      <c r="I72"/>
    </row>
    <row r="73" spans="1:9" s="295" customFormat="1" ht="69" customHeight="1" x14ac:dyDescent="0.2">
      <c r="A73"/>
      <c r="B73"/>
      <c r="C73"/>
      <c r="D73"/>
      <c r="E73"/>
      <c r="F73"/>
      <c r="G73"/>
      <c r="H73"/>
      <c r="I73"/>
    </row>
  </sheetData>
  <mergeCells count="8">
    <mergeCell ref="A64:B64"/>
    <mergeCell ref="A1:I1"/>
    <mergeCell ref="A3:A4"/>
    <mergeCell ref="B3:B4"/>
    <mergeCell ref="C3:C4"/>
    <mergeCell ref="D3:D4"/>
    <mergeCell ref="E3:H3"/>
    <mergeCell ref="I3:I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&amp;R2. sz. melléklet
...../2020. (III.03.) Egyek Önk.</oddHeader>
  </headerFooter>
  <rowBreaks count="4" manualBreakCount="4">
    <brk id="11" max="9" man="1"/>
    <brk id="21" max="16383" man="1"/>
    <brk id="52" max="16383" man="1"/>
    <brk id="6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Layout" zoomScaleNormal="100" zoomScaleSheetLayoutView="100" workbookViewId="0">
      <selection activeCell="F8" sqref="F8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6.42578125" style="241" customWidth="1"/>
    <col min="5" max="5" width="17.42578125" style="242" customWidth="1"/>
    <col min="6" max="6" width="18.140625" customWidth="1"/>
    <col min="7" max="7" width="13.42578125" customWidth="1"/>
    <col min="8" max="8" width="19" bestFit="1" customWidth="1"/>
  </cols>
  <sheetData>
    <row r="1" spans="2:7" ht="15.75" x14ac:dyDescent="0.25">
      <c r="B1" s="614" t="s">
        <v>380</v>
      </c>
      <c r="C1" s="615"/>
      <c r="D1" s="615"/>
      <c r="E1" s="615"/>
      <c r="F1" s="615"/>
      <c r="G1" s="615"/>
    </row>
    <row r="2" spans="2:7" ht="16.5" thickBot="1" x14ac:dyDescent="0.25">
      <c r="B2" s="31" t="s">
        <v>47</v>
      </c>
      <c r="C2" s="31"/>
      <c r="D2" s="230"/>
      <c r="E2" s="231"/>
    </row>
    <row r="3" spans="2:7" ht="26.25" thickBot="1" x14ac:dyDescent="0.25">
      <c r="B3" s="34" t="s">
        <v>48</v>
      </c>
      <c r="C3" s="35" t="s">
        <v>49</v>
      </c>
      <c r="D3" s="104" t="s">
        <v>377</v>
      </c>
      <c r="E3" s="53" t="s">
        <v>378</v>
      </c>
      <c r="F3" s="36" t="s">
        <v>379</v>
      </c>
      <c r="G3" s="61"/>
    </row>
    <row r="4" spans="2:7" ht="13.5" thickBot="1" x14ac:dyDescent="0.25">
      <c r="B4" s="34">
        <v>1</v>
      </c>
      <c r="C4" s="35">
        <v>2</v>
      </c>
      <c r="D4" s="104">
        <v>3</v>
      </c>
      <c r="E4" s="53">
        <v>4</v>
      </c>
      <c r="F4" s="36">
        <v>5</v>
      </c>
    </row>
    <row r="5" spans="2:7" ht="26.25" thickBot="1" x14ac:dyDescent="0.25">
      <c r="B5" s="37" t="s">
        <v>2</v>
      </c>
      <c r="C5" s="127" t="s">
        <v>112</v>
      </c>
      <c r="D5" s="54">
        <f>D6+D13</f>
        <v>737672630</v>
      </c>
      <c r="E5" s="54">
        <f>E6+E13</f>
        <v>720903728</v>
      </c>
      <c r="F5" s="54">
        <f>F6+F12+F13</f>
        <v>328498680</v>
      </c>
    </row>
    <row r="6" spans="2:7" s="57" customFormat="1" ht="13.5" thickBot="1" x14ac:dyDescent="0.25">
      <c r="B6" s="37" t="s">
        <v>6</v>
      </c>
      <c r="C6" s="209" t="s">
        <v>117</v>
      </c>
      <c r="D6" s="264">
        <f>SUM(D7:D11)</f>
        <v>328423860</v>
      </c>
      <c r="E6" s="264">
        <f>SUM(E7:E11)</f>
        <v>283375228</v>
      </c>
      <c r="F6" s="264">
        <f>SUM(F7:F11)</f>
        <v>296230251</v>
      </c>
    </row>
    <row r="7" spans="2:7" ht="13.5" thickBot="1" x14ac:dyDescent="0.25">
      <c r="B7" s="37" t="s">
        <v>10</v>
      </c>
      <c r="C7" s="39" t="s">
        <v>202</v>
      </c>
      <c r="D7" s="261">
        <v>177236427</v>
      </c>
      <c r="E7" s="261">
        <v>179789816</v>
      </c>
      <c r="F7" s="265">
        <f>'bevétel 1.m. '!I9</f>
        <v>176846893</v>
      </c>
    </row>
    <row r="8" spans="2:7" ht="26.25" thickBot="1" x14ac:dyDescent="0.25">
      <c r="B8" s="37" t="s">
        <v>4</v>
      </c>
      <c r="C8" s="38" t="s">
        <v>203</v>
      </c>
      <c r="D8" s="262">
        <v>91938376</v>
      </c>
      <c r="E8" s="262">
        <v>70536434</v>
      </c>
      <c r="F8" s="266">
        <v>93354563</v>
      </c>
    </row>
    <row r="9" spans="2:7" ht="13.5" thickBot="1" x14ac:dyDescent="0.25">
      <c r="B9" s="37" t="s">
        <v>7</v>
      </c>
      <c r="C9" s="38" t="s">
        <v>204</v>
      </c>
      <c r="D9" s="262">
        <v>7230155</v>
      </c>
      <c r="E9" s="262">
        <v>7275694</v>
      </c>
      <c r="F9" s="266">
        <v>6674085</v>
      </c>
    </row>
    <row r="10" spans="2:7" ht="13.5" thickBot="1" x14ac:dyDescent="0.25">
      <c r="B10" s="37" t="s">
        <v>11</v>
      </c>
      <c r="C10" s="38" t="s">
        <v>205</v>
      </c>
      <c r="D10" s="262">
        <v>10862397</v>
      </c>
      <c r="E10" s="262">
        <v>25773284</v>
      </c>
      <c r="F10" s="266">
        <f>'bevétel 1.m. '!C12</f>
        <v>19354710</v>
      </c>
    </row>
    <row r="11" spans="2:7" ht="13.5" thickBot="1" x14ac:dyDescent="0.25">
      <c r="B11" s="37" t="s">
        <v>5</v>
      </c>
      <c r="C11" s="38" t="s">
        <v>221</v>
      </c>
      <c r="D11" s="262">
        <v>41156505</v>
      </c>
      <c r="E11" s="262"/>
      <c r="F11" s="266"/>
    </row>
    <row r="12" spans="2:7" ht="26.25" thickBot="1" x14ac:dyDescent="0.25">
      <c r="B12" s="37" t="s">
        <v>13</v>
      </c>
      <c r="C12" s="298" t="s">
        <v>288</v>
      </c>
      <c r="D12" s="299"/>
      <c r="E12" s="299"/>
      <c r="F12" s="300"/>
    </row>
    <row r="13" spans="2:7" s="57" customFormat="1" ht="26.25" thickBot="1" x14ac:dyDescent="0.25">
      <c r="B13" s="37" t="s">
        <v>8</v>
      </c>
      <c r="C13" s="210" t="s">
        <v>206</v>
      </c>
      <c r="D13" s="263">
        <v>409248770</v>
      </c>
      <c r="E13" s="263">
        <v>437528500</v>
      </c>
      <c r="F13" s="267">
        <v>32268429</v>
      </c>
    </row>
    <row r="14" spans="2:7" s="57" customFormat="1" ht="13.5" thickBot="1" x14ac:dyDescent="0.25">
      <c r="B14" s="37" t="s">
        <v>3</v>
      </c>
      <c r="C14" s="210" t="s">
        <v>256</v>
      </c>
      <c r="D14" s="263"/>
      <c r="E14" s="263"/>
      <c r="F14" s="267"/>
    </row>
    <row r="15" spans="2:7" s="57" customFormat="1" ht="13.5" thickBot="1" x14ac:dyDescent="0.25">
      <c r="B15" s="37" t="s">
        <v>9</v>
      </c>
      <c r="C15" s="210" t="s">
        <v>289</v>
      </c>
      <c r="D15" s="263"/>
      <c r="E15" s="263"/>
      <c r="F15" s="267"/>
    </row>
    <row r="16" spans="2:7" ht="26.25" thickBot="1" x14ac:dyDescent="0.25">
      <c r="B16" s="37" t="s">
        <v>26</v>
      </c>
      <c r="C16" s="277" t="s">
        <v>118</v>
      </c>
      <c r="D16" s="276">
        <f>SUM(D17:D19)</f>
        <v>994671242</v>
      </c>
      <c r="E16" s="276">
        <f>SUM(E17:E19)</f>
        <v>671697561</v>
      </c>
      <c r="F16" s="276">
        <f>SUM(F17:F19)</f>
        <v>1502501030</v>
      </c>
    </row>
    <row r="17" spans="2:6" ht="13.5" thickBot="1" x14ac:dyDescent="0.25">
      <c r="B17" s="37" t="s">
        <v>16</v>
      </c>
      <c r="C17" s="275" t="s">
        <v>207</v>
      </c>
      <c r="D17" s="240">
        <v>39256370</v>
      </c>
      <c r="E17" s="240">
        <v>16999999</v>
      </c>
      <c r="F17" s="265">
        <v>0</v>
      </c>
    </row>
    <row r="18" spans="2:6" s="57" customFormat="1" ht="26.25" thickBot="1" x14ac:dyDescent="0.25">
      <c r="B18" s="37" t="s">
        <v>66</v>
      </c>
      <c r="C18" s="272" t="s">
        <v>290</v>
      </c>
      <c r="D18" s="273"/>
      <c r="E18" s="273"/>
      <c r="F18" s="274"/>
    </row>
    <row r="19" spans="2:6" ht="26.25" thickBot="1" x14ac:dyDescent="0.25">
      <c r="B19" s="37" t="s">
        <v>69</v>
      </c>
      <c r="C19" s="40" t="s">
        <v>208</v>
      </c>
      <c r="D19" s="55">
        <v>955414872</v>
      </c>
      <c r="E19" s="55">
        <v>654697562</v>
      </c>
      <c r="F19" s="268">
        <v>1502501030</v>
      </c>
    </row>
    <row r="20" spans="2:6" ht="13.5" thickBot="1" x14ac:dyDescent="0.25">
      <c r="B20" s="37" t="s">
        <v>67</v>
      </c>
      <c r="C20" s="59" t="s">
        <v>131</v>
      </c>
      <c r="D20" s="60">
        <f>D22+D23+D26+D27+D21</f>
        <v>79516774</v>
      </c>
      <c r="E20" s="60">
        <f>E22+E23+E26+E27</f>
        <v>98637447</v>
      </c>
      <c r="F20" s="60">
        <f>F22+F23+F26+F27</f>
        <v>97402000</v>
      </c>
    </row>
    <row r="21" spans="2:6" ht="13.5" thickBot="1" x14ac:dyDescent="0.25">
      <c r="B21" s="37"/>
      <c r="C21" s="387" t="s">
        <v>309</v>
      </c>
      <c r="D21" s="386"/>
      <c r="E21" s="386"/>
      <c r="F21" s="60"/>
    </row>
    <row r="22" spans="2:6" ht="13.5" thickBot="1" x14ac:dyDescent="0.25">
      <c r="B22" s="37" t="s">
        <v>71</v>
      </c>
      <c r="C22" s="470" t="s">
        <v>106</v>
      </c>
      <c r="D22" s="471">
        <v>13129435</v>
      </c>
      <c r="E22" s="471">
        <v>12562748</v>
      </c>
      <c r="F22" s="472">
        <v>12510000</v>
      </c>
    </row>
    <row r="23" spans="2:6" s="57" customFormat="1" ht="13.5" thickBot="1" x14ac:dyDescent="0.25">
      <c r="B23" s="469" t="s">
        <v>72</v>
      </c>
      <c r="C23" s="477" t="s">
        <v>209</v>
      </c>
      <c r="D23" s="478">
        <f>SUM(D24:D25)</f>
        <v>60902363</v>
      </c>
      <c r="E23" s="478">
        <f>SUM(E24:E25)</f>
        <v>78990549</v>
      </c>
      <c r="F23" s="478">
        <f>SUM(F24:F25)</f>
        <v>77833000</v>
      </c>
    </row>
    <row r="24" spans="2:6" ht="13.5" thickBot="1" x14ac:dyDescent="0.25">
      <c r="B24" s="469" t="s">
        <v>73</v>
      </c>
      <c r="C24" s="67" t="s">
        <v>210</v>
      </c>
      <c r="D24" s="476">
        <v>51918474</v>
      </c>
      <c r="E24" s="476">
        <v>69403671</v>
      </c>
      <c r="F24" s="479">
        <v>68320000</v>
      </c>
    </row>
    <row r="25" spans="2:6" ht="13.5" thickBot="1" x14ac:dyDescent="0.25">
      <c r="B25" s="469" t="s">
        <v>15</v>
      </c>
      <c r="C25" s="67" t="s">
        <v>211</v>
      </c>
      <c r="D25" s="476">
        <v>8983889</v>
      </c>
      <c r="E25" s="476">
        <v>9586878</v>
      </c>
      <c r="F25" s="479">
        <v>9513000</v>
      </c>
    </row>
    <row r="26" spans="2:6" ht="13.5" thickBot="1" x14ac:dyDescent="0.25">
      <c r="B26" s="469" t="s">
        <v>74</v>
      </c>
      <c r="C26" s="67" t="s">
        <v>212</v>
      </c>
      <c r="D26" s="476">
        <v>5484976</v>
      </c>
      <c r="E26" s="476">
        <v>7084150</v>
      </c>
      <c r="F26" s="480">
        <v>7059000</v>
      </c>
    </row>
    <row r="27" spans="2:6" ht="13.5" thickBot="1" x14ac:dyDescent="0.25">
      <c r="B27" s="469" t="s">
        <v>75</v>
      </c>
      <c r="C27" s="67" t="s">
        <v>306</v>
      </c>
      <c r="D27" s="476"/>
      <c r="E27" s="476"/>
      <c r="F27" s="479"/>
    </row>
    <row r="28" spans="2:6" ht="13.5" thickBot="1" x14ac:dyDescent="0.25">
      <c r="B28" s="469" t="s">
        <v>76</v>
      </c>
      <c r="C28" s="481" t="s">
        <v>257</v>
      </c>
      <c r="D28" s="482"/>
      <c r="E28" s="482"/>
      <c r="F28" s="483"/>
    </row>
    <row r="29" spans="2:6" ht="13.5" thickBot="1" x14ac:dyDescent="0.25">
      <c r="B29" s="469" t="s">
        <v>80</v>
      </c>
      <c r="C29" s="473" t="s">
        <v>213</v>
      </c>
      <c r="D29" s="474">
        <v>69157104</v>
      </c>
      <c r="E29" s="474">
        <v>94564959</v>
      </c>
      <c r="F29" s="475">
        <v>75876147</v>
      </c>
    </row>
    <row r="30" spans="2:6" s="51" customFormat="1" ht="13.5" thickBot="1" x14ac:dyDescent="0.25">
      <c r="B30" s="469" t="s">
        <v>81</v>
      </c>
      <c r="C30" s="211" t="s">
        <v>132</v>
      </c>
      <c r="D30" s="212">
        <v>3046456</v>
      </c>
      <c r="E30" s="212">
        <v>53524882</v>
      </c>
      <c r="F30" s="269">
        <f>11112694+10000000</f>
        <v>21112694</v>
      </c>
    </row>
    <row r="31" spans="2:6" s="51" customFormat="1" ht="13.5" thickBot="1" x14ac:dyDescent="0.25">
      <c r="B31" s="469" t="s">
        <v>82</v>
      </c>
      <c r="C31" s="213" t="s">
        <v>129</v>
      </c>
      <c r="D31" s="203">
        <v>13637767</v>
      </c>
      <c r="E31" s="203">
        <v>13653774</v>
      </c>
      <c r="F31" s="270">
        <v>17224731</v>
      </c>
    </row>
    <row r="32" spans="2:6" s="51" customFormat="1" ht="13.5" thickBot="1" x14ac:dyDescent="0.25">
      <c r="B32" s="469" t="s">
        <v>231</v>
      </c>
      <c r="C32" s="214" t="s">
        <v>120</v>
      </c>
      <c r="D32" s="215"/>
      <c r="E32" s="215">
        <f>E33+E34</f>
        <v>0</v>
      </c>
      <c r="F32" s="280">
        <f>F33+F34</f>
        <v>0</v>
      </c>
    </row>
    <row r="33" spans="2:8" s="147" customFormat="1" ht="26.25" thickBot="1" x14ac:dyDescent="0.25">
      <c r="B33" s="469" t="s">
        <v>232</v>
      </c>
      <c r="C33" s="205" t="s">
        <v>285</v>
      </c>
      <c r="D33" s="206"/>
      <c r="E33" s="206"/>
      <c r="F33" s="271">
        <v>0</v>
      </c>
    </row>
    <row r="34" spans="2:8" s="147" customFormat="1" ht="13.5" thickBot="1" x14ac:dyDescent="0.25">
      <c r="B34" s="469" t="s">
        <v>233</v>
      </c>
      <c r="C34" s="207" t="s">
        <v>286</v>
      </c>
      <c r="D34" s="208"/>
      <c r="E34" s="208"/>
      <c r="F34" s="208">
        <v>0</v>
      </c>
    </row>
    <row r="35" spans="2:8" ht="13.5" thickBot="1" x14ac:dyDescent="0.25">
      <c r="B35" s="620" t="s">
        <v>104</v>
      </c>
      <c r="C35" s="621"/>
      <c r="D35" s="216">
        <f>D5+D16+D20+D29+D30+D31+D32</f>
        <v>1897701973</v>
      </c>
      <c r="E35" s="216">
        <f>E5+E16+E20+E29+E30+E31+E32</f>
        <v>1652982351</v>
      </c>
      <c r="F35" s="216">
        <f>F5+F16+F20+F29+F30+F31+F32</f>
        <v>2042615282</v>
      </c>
    </row>
    <row r="36" spans="2:8" ht="13.5" thickBot="1" x14ac:dyDescent="0.25">
      <c r="B36" s="42" t="s">
        <v>234</v>
      </c>
      <c r="C36" s="42" t="s">
        <v>127</v>
      </c>
      <c r="D36" s="101">
        <f>SUM(D37:D39)</f>
        <v>172630161</v>
      </c>
      <c r="E36" s="101">
        <f>SUM(E37:E39)</f>
        <v>1164285911</v>
      </c>
      <c r="F36" s="101">
        <f>F37+F38+F39</f>
        <v>250563012</v>
      </c>
    </row>
    <row r="37" spans="2:8" ht="13.5" thickBot="1" x14ac:dyDescent="0.25">
      <c r="B37" s="42" t="s">
        <v>235</v>
      </c>
      <c r="C37" s="102" t="s">
        <v>214</v>
      </c>
      <c r="D37" s="103"/>
      <c r="E37" s="103">
        <v>48633958</v>
      </c>
      <c r="F37" s="208">
        <f>'Bev.étel Önk.köt.fel. 1.1)a'!I24</f>
        <v>97249817</v>
      </c>
      <c r="H37" s="66"/>
    </row>
    <row r="38" spans="2:8" ht="24.75" customHeight="1" thickBot="1" x14ac:dyDescent="0.25">
      <c r="B38" s="42" t="s">
        <v>236</v>
      </c>
      <c r="C38" s="102" t="s">
        <v>123</v>
      </c>
      <c r="D38" s="103">
        <v>162501555</v>
      </c>
      <c r="E38" s="103">
        <v>1052482102</v>
      </c>
      <c r="F38" s="271">
        <v>153313195</v>
      </c>
      <c r="H38" s="381"/>
    </row>
    <row r="39" spans="2:8" ht="13.5" thickBot="1" x14ac:dyDescent="0.25">
      <c r="B39" s="42" t="s">
        <v>237</v>
      </c>
      <c r="C39" s="102" t="s">
        <v>259</v>
      </c>
      <c r="D39" s="103">
        <v>10128606</v>
      </c>
      <c r="E39" s="103">
        <v>63169851</v>
      </c>
      <c r="F39" s="271"/>
      <c r="H39" s="148"/>
    </row>
    <row r="40" spans="2:8" ht="13.5" thickBot="1" x14ac:dyDescent="0.25">
      <c r="B40" s="42" t="s">
        <v>238</v>
      </c>
      <c r="C40" s="102" t="s">
        <v>239</v>
      </c>
      <c r="D40" s="232"/>
      <c r="E40" s="103"/>
      <c r="F40" s="271"/>
    </row>
    <row r="41" spans="2:8" x14ac:dyDescent="0.2">
      <c r="B41" s="63"/>
      <c r="C41" s="62"/>
      <c r="D41" s="233"/>
      <c r="E41" s="233"/>
    </row>
    <row r="42" spans="2:8" x14ac:dyDescent="0.2">
      <c r="B42" s="619" t="s">
        <v>52</v>
      </c>
      <c r="C42" s="619"/>
      <c r="D42" s="619"/>
      <c r="E42" s="619"/>
    </row>
    <row r="43" spans="2:8" ht="13.5" thickBot="1" x14ac:dyDescent="0.25">
      <c r="B43" s="43"/>
      <c r="C43" s="43"/>
      <c r="D43" s="234"/>
      <c r="E43" s="235"/>
    </row>
    <row r="44" spans="2:8" ht="26.25" thickBot="1" x14ac:dyDescent="0.25">
      <c r="B44" s="34" t="s">
        <v>53</v>
      </c>
      <c r="C44" s="35" t="s">
        <v>54</v>
      </c>
      <c r="D44" s="104" t="s">
        <v>377</v>
      </c>
      <c r="E44" s="53" t="s">
        <v>374</v>
      </c>
      <c r="F44" s="36" t="s">
        <v>298</v>
      </c>
    </row>
    <row r="45" spans="2:8" ht="13.5" thickBot="1" x14ac:dyDescent="0.25">
      <c r="B45" s="34">
        <v>1</v>
      </c>
      <c r="C45" s="35">
        <v>2</v>
      </c>
      <c r="D45" s="104">
        <v>3</v>
      </c>
      <c r="E45" s="53">
        <v>4</v>
      </c>
      <c r="F45" s="36">
        <v>5</v>
      </c>
    </row>
    <row r="46" spans="2:8" ht="13.5" thickBot="1" x14ac:dyDescent="0.25">
      <c r="B46" s="37" t="s">
        <v>2</v>
      </c>
      <c r="C46" s="44" t="s">
        <v>215</v>
      </c>
      <c r="D46" s="54">
        <f>D47+D48</f>
        <v>502547283</v>
      </c>
      <c r="E46" s="54">
        <f>E47+E48</f>
        <v>474384466</v>
      </c>
      <c r="F46" s="54">
        <f>F47+F48</f>
        <v>210202479</v>
      </c>
      <c r="G46" s="50"/>
      <c r="H46" s="50"/>
    </row>
    <row r="47" spans="2:8" ht="13.5" thickBot="1" x14ac:dyDescent="0.25">
      <c r="B47" s="37" t="s">
        <v>6</v>
      </c>
      <c r="C47" s="41" t="s">
        <v>182</v>
      </c>
      <c r="D47" s="56">
        <v>452709126</v>
      </c>
      <c r="E47" s="56">
        <v>439378288</v>
      </c>
      <c r="F47" s="223">
        <v>183120437</v>
      </c>
      <c r="G47" s="50"/>
      <c r="H47" s="50"/>
    </row>
    <row r="48" spans="2:8" ht="13.5" thickBot="1" x14ac:dyDescent="0.25">
      <c r="B48" s="37" t="s">
        <v>10</v>
      </c>
      <c r="C48" s="45" t="s">
        <v>183</v>
      </c>
      <c r="D48" s="236">
        <v>49838157</v>
      </c>
      <c r="E48" s="236">
        <v>35006178</v>
      </c>
      <c r="F48" s="224">
        <v>27082042</v>
      </c>
      <c r="G48" s="50"/>
      <c r="H48" s="50"/>
    </row>
    <row r="49" spans="1:8" s="51" customFormat="1" ht="26.25" thickBot="1" x14ac:dyDescent="0.25">
      <c r="B49" s="37" t="s">
        <v>4</v>
      </c>
      <c r="C49" s="217" t="s">
        <v>156</v>
      </c>
      <c r="D49" s="53">
        <v>65742544</v>
      </c>
      <c r="E49" s="53">
        <v>60898284</v>
      </c>
      <c r="F49" s="225">
        <v>32567612</v>
      </c>
      <c r="G49" s="406"/>
      <c r="H49" s="406"/>
    </row>
    <row r="50" spans="1:8" s="51" customFormat="1" ht="13.5" thickBot="1" x14ac:dyDescent="0.25">
      <c r="B50" s="37" t="s">
        <v>7</v>
      </c>
      <c r="C50" s="218" t="s">
        <v>147</v>
      </c>
      <c r="D50" s="237">
        <v>182605783</v>
      </c>
      <c r="E50" s="237">
        <v>423032998</v>
      </c>
      <c r="F50" s="225">
        <v>408828641</v>
      </c>
      <c r="G50" s="406"/>
      <c r="H50" s="406"/>
    </row>
    <row r="51" spans="1:8" s="51" customFormat="1" ht="13.5" thickBot="1" x14ac:dyDescent="0.25">
      <c r="B51" s="37" t="s">
        <v>11</v>
      </c>
      <c r="C51" s="218" t="s">
        <v>216</v>
      </c>
      <c r="D51" s="53">
        <v>17717099</v>
      </c>
      <c r="E51" s="53">
        <v>9507143</v>
      </c>
      <c r="F51" s="402">
        <v>14005000</v>
      </c>
      <c r="G51" s="406"/>
      <c r="H51" s="407"/>
    </row>
    <row r="52" spans="1:8" s="51" customFormat="1" ht="13.5" thickBot="1" x14ac:dyDescent="0.25">
      <c r="B52" s="37" t="s">
        <v>5</v>
      </c>
      <c r="C52" s="219" t="s">
        <v>220</v>
      </c>
      <c r="D52" s="238">
        <v>103133455</v>
      </c>
      <c r="E52" s="238">
        <v>108934943</v>
      </c>
      <c r="F52" s="403">
        <v>135707092</v>
      </c>
      <c r="G52" s="406"/>
      <c r="H52" s="407"/>
    </row>
    <row r="53" spans="1:8" s="147" customFormat="1" ht="13.5" thickBot="1" x14ac:dyDescent="0.25">
      <c r="A53" s="58"/>
      <c r="B53" s="37" t="s">
        <v>13</v>
      </c>
      <c r="C53" s="404" t="s">
        <v>310</v>
      </c>
      <c r="D53" s="405">
        <f>SUM(D54:D55)</f>
        <v>103133455</v>
      </c>
      <c r="E53" s="405">
        <f t="shared" ref="E53:F53" si="0">SUM(E54:E55)</f>
        <v>0</v>
      </c>
      <c r="F53" s="405">
        <f t="shared" si="0"/>
        <v>15000000</v>
      </c>
      <c r="G53" s="408"/>
      <c r="H53" s="407"/>
    </row>
    <row r="54" spans="1:8" ht="13.5" thickBot="1" x14ac:dyDescent="0.25">
      <c r="B54" s="37" t="s">
        <v>8</v>
      </c>
      <c r="C54" s="221" t="s">
        <v>311</v>
      </c>
      <c r="D54" s="239">
        <v>103133455</v>
      </c>
      <c r="E54" s="239"/>
      <c r="F54" s="226">
        <v>10000000</v>
      </c>
      <c r="G54" s="50"/>
      <c r="H54" s="407"/>
    </row>
    <row r="55" spans="1:8" ht="13.5" thickBot="1" x14ac:dyDescent="0.25">
      <c r="B55" s="37" t="s">
        <v>3</v>
      </c>
      <c r="C55" s="222" t="s">
        <v>291</v>
      </c>
      <c r="D55" s="68"/>
      <c r="E55" s="68"/>
      <c r="F55" s="227">
        <v>5000000</v>
      </c>
      <c r="G55" s="50"/>
      <c r="H55" s="407"/>
    </row>
    <row r="56" spans="1:8" s="51" customFormat="1" ht="13.5" thickBot="1" x14ac:dyDescent="0.25">
      <c r="B56" s="37" t="s">
        <v>9</v>
      </c>
      <c r="C56" s="220" t="s">
        <v>217</v>
      </c>
      <c r="D56" s="204">
        <v>80340781</v>
      </c>
      <c r="E56" s="204">
        <v>843418159</v>
      </c>
      <c r="F56" s="228">
        <v>1433335193</v>
      </c>
      <c r="G56" s="406"/>
      <c r="H56" s="407"/>
    </row>
    <row r="57" spans="1:8" s="51" customFormat="1" ht="13.5" thickBot="1" x14ac:dyDescent="0.25">
      <c r="B57" s="37" t="s">
        <v>26</v>
      </c>
      <c r="C57" s="218" t="s">
        <v>218</v>
      </c>
      <c r="D57" s="53">
        <v>58899410</v>
      </c>
      <c r="E57" s="53">
        <v>39441130</v>
      </c>
      <c r="F57" s="225">
        <v>17903476</v>
      </c>
      <c r="G57" s="406"/>
      <c r="H57" s="407"/>
    </row>
    <row r="58" spans="1:8" s="51" customFormat="1" ht="13.5" thickBot="1" x14ac:dyDescent="0.25">
      <c r="B58" s="37" t="s">
        <v>16</v>
      </c>
      <c r="C58" s="218" t="s">
        <v>151</v>
      </c>
      <c r="D58" s="53">
        <v>1500000</v>
      </c>
      <c r="E58" s="53">
        <v>1207165</v>
      </c>
      <c r="F58" s="225"/>
      <c r="G58" s="406"/>
      <c r="H58" s="407"/>
    </row>
    <row r="59" spans="1:8" ht="13.5" thickBot="1" x14ac:dyDescent="0.25">
      <c r="B59" s="37" t="s">
        <v>66</v>
      </c>
      <c r="C59" s="46" t="s">
        <v>154</v>
      </c>
      <c r="D59" s="52">
        <f>D60+D62</f>
        <v>155780666</v>
      </c>
      <c r="E59" s="52">
        <f>E60+E62</f>
        <v>219513435</v>
      </c>
      <c r="F59" s="52">
        <f>F60+F62</f>
        <v>25628801</v>
      </c>
      <c r="G59" s="50"/>
      <c r="H59" s="407"/>
    </row>
    <row r="60" spans="1:8" ht="13.5" thickBot="1" x14ac:dyDescent="0.25">
      <c r="B60" s="37" t="s">
        <v>67</v>
      </c>
      <c r="C60" s="39" t="s">
        <v>152</v>
      </c>
      <c r="D60" s="240">
        <v>148226301</v>
      </c>
      <c r="E60" s="240">
        <v>209064070</v>
      </c>
      <c r="F60" s="128">
        <v>10353836</v>
      </c>
      <c r="G60" s="50"/>
      <c r="H60" s="407"/>
    </row>
    <row r="61" spans="1:8" ht="13.5" thickBot="1" x14ac:dyDescent="0.25">
      <c r="B61" s="37"/>
      <c r="C61" s="382" t="s">
        <v>313</v>
      </c>
      <c r="D61" s="240">
        <v>11049981</v>
      </c>
      <c r="E61" s="240">
        <v>62944621</v>
      </c>
      <c r="F61" s="128">
        <v>10353836</v>
      </c>
      <c r="G61" s="50"/>
      <c r="H61" s="407"/>
    </row>
    <row r="62" spans="1:8" ht="13.5" thickBot="1" x14ac:dyDescent="0.25">
      <c r="B62" s="37" t="s">
        <v>68</v>
      </c>
      <c r="C62" s="39" t="s">
        <v>153</v>
      </c>
      <c r="D62" s="55">
        <v>7554365</v>
      </c>
      <c r="E62" s="55">
        <v>10449365</v>
      </c>
      <c r="F62" s="226">
        <v>15274965</v>
      </c>
      <c r="G62" s="50"/>
      <c r="H62" s="409"/>
    </row>
    <row r="63" spans="1:8" ht="13.5" thickBot="1" x14ac:dyDescent="0.25">
      <c r="B63" s="37" t="s">
        <v>71</v>
      </c>
      <c r="C63" s="46" t="s">
        <v>219</v>
      </c>
      <c r="D63" s="229">
        <f>D46+D49+D50+D51+D52+D56+D57+D58+D59</f>
        <v>1168267021</v>
      </c>
      <c r="E63" s="229">
        <f>E46+E49+E50+E51+E52+E56+E57+E58+E59</f>
        <v>2180337723</v>
      </c>
      <c r="F63" s="229">
        <f>F46+F49+F50+F51+F52+F56+F57+F58+F59+F53</f>
        <v>2293178294</v>
      </c>
      <c r="G63" s="50"/>
      <c r="H63" s="409"/>
    </row>
    <row r="64" spans="1:8" ht="14.25" customHeight="1" thickBot="1" x14ac:dyDescent="0.25">
      <c r="B64" s="616" t="s">
        <v>381</v>
      </c>
      <c r="C64" s="617"/>
      <c r="D64" s="617"/>
      <c r="E64" s="618"/>
      <c r="F64" s="225">
        <f>F63</f>
        <v>2293178294</v>
      </c>
      <c r="G64" s="50"/>
      <c r="H64" s="409"/>
    </row>
    <row r="65" spans="2:8" ht="15" customHeight="1" thickBot="1" x14ac:dyDescent="0.25">
      <c r="B65" s="616" t="s">
        <v>382</v>
      </c>
      <c r="C65" s="617"/>
      <c r="D65" s="617"/>
      <c r="E65" s="618"/>
      <c r="F65" s="225">
        <f>F35+F36</f>
        <v>2293178294</v>
      </c>
      <c r="H65" s="381"/>
    </row>
    <row r="66" spans="2:8" x14ac:dyDescent="0.2">
      <c r="H66" s="381"/>
    </row>
    <row r="69" spans="2:8" x14ac:dyDescent="0.2">
      <c r="F69" s="537"/>
    </row>
  </sheetData>
  <mergeCells count="5">
    <mergeCell ref="B1:G1"/>
    <mergeCell ref="B64:E64"/>
    <mergeCell ref="B65:E65"/>
    <mergeCell ref="B42:E42"/>
    <mergeCell ref="B35:C35"/>
  </mergeCells>
  <phoneticPr fontId="2" type="noConversion"/>
  <pageMargins left="0.78740157480314965" right="0.78740157480314965" top="0.39370078740157483" bottom="0.39370078740157483" header="0" footer="0"/>
  <pageSetup paperSize="9" scale="64" orientation="portrait" r:id="rId1"/>
  <headerFooter alignWithMargins="0">
    <oddHeader>&amp;R3.sz. melléklet
..../2020. (III.03.)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3:Q37"/>
  <sheetViews>
    <sheetView view="pageLayout" topLeftCell="B1" zoomScaleNormal="120" workbookViewId="0">
      <selection activeCell="Q11" sqref="Q11"/>
    </sheetView>
  </sheetViews>
  <sheetFormatPr defaultRowHeight="12.75" x14ac:dyDescent="0.2"/>
  <cols>
    <col min="1" max="1" width="33.140625" customWidth="1"/>
    <col min="2" max="2" width="13.7109375" customWidth="1"/>
    <col min="3" max="3" width="9.5703125" bestFit="1" customWidth="1"/>
    <col min="5" max="5" width="9.5703125" bestFit="1" customWidth="1"/>
    <col min="6" max="7" width="10.85546875" bestFit="1" customWidth="1"/>
    <col min="8" max="9" width="9.5703125" bestFit="1" customWidth="1"/>
    <col min="11" max="11" width="9.5703125" bestFit="1" customWidth="1"/>
    <col min="12" max="12" width="11.7109375" bestFit="1" customWidth="1"/>
    <col min="13" max="14" width="9.5703125" bestFit="1" customWidth="1"/>
    <col min="15" max="15" width="11.7109375" customWidth="1"/>
  </cols>
  <sheetData>
    <row r="3" spans="1:17" ht="18" x14ac:dyDescent="0.25">
      <c r="A3" s="622" t="s">
        <v>364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</row>
    <row r="4" spans="1:17" ht="18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7" ht="18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7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7" x14ac:dyDescent="0.2">
      <c r="A7" s="25" t="s">
        <v>0</v>
      </c>
      <c r="B7" s="26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  <c r="N7" s="26" t="s">
        <v>42</v>
      </c>
      <c r="O7" s="26" t="s">
        <v>25</v>
      </c>
    </row>
    <row r="8" spans="1:17" x14ac:dyDescent="0.2">
      <c r="A8" s="27" t="s">
        <v>43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>
        <f t="shared" ref="O8:O16" si="0">SUM(C8:N8)</f>
        <v>0</v>
      </c>
    </row>
    <row r="9" spans="1:17" ht="35.25" customHeight="1" x14ac:dyDescent="0.2">
      <c r="A9" s="64" t="s">
        <v>112</v>
      </c>
      <c r="B9" s="28">
        <f>'bevétel 1.m. '!I7</f>
        <v>328498680</v>
      </c>
      <c r="C9" s="28">
        <v>24259526</v>
      </c>
      <c r="D9" s="28">
        <v>24259526</v>
      </c>
      <c r="E9" s="28">
        <v>24259526</v>
      </c>
      <c r="F9" s="28">
        <v>24259526</v>
      </c>
      <c r="G9" s="28">
        <v>24259526</v>
      </c>
      <c r="H9" s="28">
        <v>24259526</v>
      </c>
      <c r="I9" s="28">
        <v>24259526</v>
      </c>
      <c r="J9" s="28">
        <v>24259526</v>
      </c>
      <c r="K9" s="28">
        <v>24259526</v>
      </c>
      <c r="L9" s="28">
        <v>24259526</v>
      </c>
      <c r="M9" s="28">
        <v>24259526</v>
      </c>
      <c r="N9" s="28">
        <f>B9-C9-D9-E9-F9-G9-H9-I9-J9-K9-L9-M9</f>
        <v>61643894</v>
      </c>
      <c r="O9" s="28">
        <f t="shared" si="0"/>
        <v>328498680</v>
      </c>
    </row>
    <row r="10" spans="1:17" ht="29.25" customHeight="1" x14ac:dyDescent="0.2">
      <c r="A10" s="64" t="s">
        <v>118</v>
      </c>
      <c r="B10" s="28">
        <v>1502501030</v>
      </c>
      <c r="C10" s="28"/>
      <c r="D10" s="28">
        <v>30500000</v>
      </c>
      <c r="E10" s="28">
        <v>1200000</v>
      </c>
      <c r="F10" s="28">
        <v>21000000</v>
      </c>
      <c r="G10" s="28">
        <v>524500000</v>
      </c>
      <c r="H10" s="28">
        <v>250000000</v>
      </c>
      <c r="I10" s="28">
        <v>12500500</v>
      </c>
      <c r="J10" s="28">
        <v>39500000</v>
      </c>
      <c r="K10" s="28">
        <f>B10-L10-M10-N10-J10-I10-H10-G10-F10-E10-D10</f>
        <v>561800530</v>
      </c>
      <c r="L10" s="28">
        <v>21500000</v>
      </c>
      <c r="M10" s="28">
        <v>19500000</v>
      </c>
      <c r="N10" s="28">
        <v>20500000</v>
      </c>
      <c r="O10" s="28">
        <f t="shared" si="0"/>
        <v>1502501030</v>
      </c>
    </row>
    <row r="11" spans="1:17" ht="48" customHeight="1" x14ac:dyDescent="0.2">
      <c r="A11" s="64" t="s">
        <v>131</v>
      </c>
      <c r="B11" s="28">
        <v>97402000</v>
      </c>
      <c r="C11" s="28">
        <f>(B11-E11-K11)/10</f>
        <v>300200</v>
      </c>
      <c r="D11" s="28">
        <v>300200</v>
      </c>
      <c r="E11" s="28">
        <v>47200000</v>
      </c>
      <c r="F11" s="28">
        <v>300200</v>
      </c>
      <c r="G11" s="28">
        <v>300200</v>
      </c>
      <c r="H11" s="28">
        <v>300200</v>
      </c>
      <c r="I11" s="28">
        <v>300200</v>
      </c>
      <c r="J11" s="28">
        <v>300200</v>
      </c>
      <c r="K11" s="28">
        <v>47200000</v>
      </c>
      <c r="L11" s="28">
        <v>300200</v>
      </c>
      <c r="M11" s="28">
        <v>300200</v>
      </c>
      <c r="N11" s="28">
        <v>300200</v>
      </c>
      <c r="O11" s="28">
        <f t="shared" si="0"/>
        <v>97402000</v>
      </c>
    </row>
    <row r="12" spans="1:17" x14ac:dyDescent="0.2">
      <c r="A12" s="27" t="s">
        <v>110</v>
      </c>
      <c r="B12" s="28">
        <v>75876147</v>
      </c>
      <c r="C12" s="28">
        <v>6323012</v>
      </c>
      <c r="D12" s="28">
        <v>6323000</v>
      </c>
      <c r="E12" s="28">
        <v>6323000</v>
      </c>
      <c r="F12" s="28">
        <v>6323000</v>
      </c>
      <c r="G12" s="28">
        <v>6323000</v>
      </c>
      <c r="H12" s="28">
        <v>6323000</v>
      </c>
      <c r="I12" s="28">
        <v>6323000</v>
      </c>
      <c r="J12" s="28">
        <v>6323000</v>
      </c>
      <c r="K12" s="28">
        <v>6323000</v>
      </c>
      <c r="L12" s="28">
        <v>6323000</v>
      </c>
      <c r="M12" s="28">
        <v>6323000</v>
      </c>
      <c r="N12" s="28">
        <f>B12-C12-D12-E12-F12-G12-H12-I12-J12-K12-L12-M12</f>
        <v>6323135</v>
      </c>
      <c r="O12" s="28">
        <f t="shared" si="0"/>
        <v>75876147</v>
      </c>
    </row>
    <row r="13" spans="1:17" x14ac:dyDescent="0.2">
      <c r="A13" s="27" t="s">
        <v>132</v>
      </c>
      <c r="B13" s="28">
        <v>21112694</v>
      </c>
      <c r="C13" s="28"/>
      <c r="D13" s="28"/>
      <c r="E13" s="28">
        <v>5112694</v>
      </c>
      <c r="F13" s="28"/>
      <c r="G13" s="28"/>
      <c r="H13" s="28"/>
      <c r="I13" s="28">
        <v>6000000</v>
      </c>
      <c r="J13" s="28">
        <v>4000000</v>
      </c>
      <c r="K13" s="28"/>
      <c r="L13" s="28"/>
      <c r="M13" s="28">
        <v>6000000</v>
      </c>
      <c r="N13" s="28"/>
      <c r="O13" s="28">
        <f t="shared" si="0"/>
        <v>21112694</v>
      </c>
    </row>
    <row r="14" spans="1:17" ht="40.5" customHeight="1" x14ac:dyDescent="0.2">
      <c r="A14" s="64" t="s">
        <v>129</v>
      </c>
      <c r="B14" s="28">
        <v>17224731</v>
      </c>
      <c r="C14" s="28"/>
      <c r="D14" s="28"/>
      <c r="E14" s="28">
        <v>100000</v>
      </c>
      <c r="F14" s="28">
        <v>100000</v>
      </c>
      <c r="G14" s="28">
        <v>100000</v>
      </c>
      <c r="H14" s="28">
        <v>100000</v>
      </c>
      <c r="I14" s="28">
        <v>100000</v>
      </c>
      <c r="J14" s="28">
        <v>100000</v>
      </c>
      <c r="K14" s="28">
        <v>16324731</v>
      </c>
      <c r="L14" s="28">
        <v>100000</v>
      </c>
      <c r="M14" s="28">
        <v>100000</v>
      </c>
      <c r="N14" s="28">
        <v>100000</v>
      </c>
      <c r="O14" s="28">
        <f t="shared" si="0"/>
        <v>17224731</v>
      </c>
      <c r="P14" s="73"/>
    </row>
    <row r="15" spans="1:17" ht="56.25" customHeight="1" x14ac:dyDescent="0.2">
      <c r="A15" s="64" t="s">
        <v>120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>
        <f t="shared" si="0"/>
        <v>0</v>
      </c>
      <c r="Q15" s="2"/>
    </row>
    <row r="16" spans="1:17" ht="20.25" customHeight="1" x14ac:dyDescent="0.2">
      <c r="A16" s="64" t="s">
        <v>127</v>
      </c>
      <c r="B16" s="28">
        <f>'bevétel 1.m. '!I35</f>
        <v>250563012</v>
      </c>
      <c r="C16" s="28">
        <v>36570000</v>
      </c>
      <c r="D16" s="28">
        <v>27000000</v>
      </c>
      <c r="E16" s="28">
        <v>7200000</v>
      </c>
      <c r="F16" s="28">
        <v>31500000</v>
      </c>
      <c r="G16" s="28"/>
      <c r="H16" s="28"/>
      <c r="I16" s="28">
        <v>41500000</v>
      </c>
      <c r="J16" s="28"/>
      <c r="K16" s="28">
        <f>B16-L16-M16-N16-I16-F16-E16-D16-C16</f>
        <v>43293012</v>
      </c>
      <c r="L16" s="28">
        <v>25500000</v>
      </c>
      <c r="M16" s="28">
        <v>21500000</v>
      </c>
      <c r="N16" s="28">
        <v>16500000</v>
      </c>
      <c r="O16" s="28">
        <f t="shared" si="0"/>
        <v>250563012</v>
      </c>
      <c r="P16" s="73"/>
    </row>
    <row r="17" spans="1:15" x14ac:dyDescent="0.2">
      <c r="A17" s="32" t="s">
        <v>44</v>
      </c>
      <c r="B17" s="33">
        <f t="shared" ref="B17:N17" si="1">SUM(B9:B16)</f>
        <v>2293178294</v>
      </c>
      <c r="C17" s="33">
        <f t="shared" si="1"/>
        <v>67452738</v>
      </c>
      <c r="D17" s="33">
        <f t="shared" si="1"/>
        <v>88382726</v>
      </c>
      <c r="E17" s="33">
        <f t="shared" si="1"/>
        <v>91395220</v>
      </c>
      <c r="F17" s="33">
        <f t="shared" si="1"/>
        <v>83482726</v>
      </c>
      <c r="G17" s="33">
        <f t="shared" si="1"/>
        <v>555482726</v>
      </c>
      <c r="H17" s="33">
        <f t="shared" si="1"/>
        <v>280982726</v>
      </c>
      <c r="I17" s="33">
        <f t="shared" si="1"/>
        <v>90983226</v>
      </c>
      <c r="J17" s="33">
        <f t="shared" si="1"/>
        <v>74482726</v>
      </c>
      <c r="K17" s="33">
        <f t="shared" si="1"/>
        <v>699200799</v>
      </c>
      <c r="L17" s="33">
        <f t="shared" si="1"/>
        <v>77982726</v>
      </c>
      <c r="M17" s="33">
        <f t="shared" si="1"/>
        <v>77982726</v>
      </c>
      <c r="N17" s="33">
        <f t="shared" si="1"/>
        <v>105367229</v>
      </c>
      <c r="O17" s="33">
        <f>SUM(O9:O16)</f>
        <v>2293178294</v>
      </c>
    </row>
    <row r="18" spans="1:15" x14ac:dyDescent="0.2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x14ac:dyDescent="0.2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x14ac:dyDescent="0.2">
      <c r="A20" s="25" t="s">
        <v>0</v>
      </c>
      <c r="B20" s="26" t="s">
        <v>30</v>
      </c>
      <c r="C20" s="26" t="s">
        <v>31</v>
      </c>
      <c r="D20" s="26" t="s">
        <v>32</v>
      </c>
      <c r="E20" s="26" t="s">
        <v>33</v>
      </c>
      <c r="F20" s="26" t="s">
        <v>34</v>
      </c>
      <c r="G20" s="26" t="s">
        <v>35</v>
      </c>
      <c r="H20" s="26" t="s">
        <v>36</v>
      </c>
      <c r="I20" s="26" t="s">
        <v>37</v>
      </c>
      <c r="J20" s="26" t="s">
        <v>38</v>
      </c>
      <c r="K20" s="26" t="s">
        <v>39</v>
      </c>
      <c r="L20" s="26" t="s">
        <v>40</v>
      </c>
      <c r="M20" s="26" t="s">
        <v>41</v>
      </c>
      <c r="N20" s="26" t="s">
        <v>42</v>
      </c>
      <c r="O20" s="26" t="s">
        <v>25</v>
      </c>
    </row>
    <row r="21" spans="1:15" x14ac:dyDescent="0.2">
      <c r="A21" s="27" t="s">
        <v>45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">
      <c r="A22" s="27" t="s">
        <v>146</v>
      </c>
      <c r="B22" s="28">
        <v>210202479</v>
      </c>
      <c r="C22" s="28">
        <v>17516873</v>
      </c>
      <c r="D22" s="28">
        <v>17516873</v>
      </c>
      <c r="E22" s="28">
        <v>17516873</v>
      </c>
      <c r="F22" s="28">
        <v>17516873</v>
      </c>
      <c r="G22" s="28">
        <v>17516873</v>
      </c>
      <c r="H22" s="28">
        <v>17516873</v>
      </c>
      <c r="I22" s="28">
        <v>17516873</v>
      </c>
      <c r="J22" s="28">
        <v>17516873</v>
      </c>
      <c r="K22" s="28">
        <v>17516873</v>
      </c>
      <c r="L22" s="28">
        <v>17516873</v>
      </c>
      <c r="M22" s="28">
        <v>17516873</v>
      </c>
      <c r="N22" s="28">
        <f>B22-C22-D22-E22-F22-G22-H22-I22-J22-K22-L22-M22</f>
        <v>17516876</v>
      </c>
      <c r="O22" s="28">
        <f t="shared" ref="O22:O32" si="2">SUM(C22:N22)</f>
        <v>210202479</v>
      </c>
    </row>
    <row r="23" spans="1:15" ht="30.75" customHeight="1" x14ac:dyDescent="0.2">
      <c r="A23" s="64" t="s">
        <v>156</v>
      </c>
      <c r="B23" s="28">
        <v>32567612</v>
      </c>
      <c r="C23" s="28">
        <v>2713968</v>
      </c>
      <c r="D23" s="28">
        <v>2713968</v>
      </c>
      <c r="E23" s="28">
        <v>2713968</v>
      </c>
      <c r="F23" s="28">
        <v>2713968</v>
      </c>
      <c r="G23" s="28">
        <v>2713968</v>
      </c>
      <c r="H23" s="28">
        <v>2713968</v>
      </c>
      <c r="I23" s="28">
        <v>2713968</v>
      </c>
      <c r="J23" s="28">
        <v>2713968</v>
      </c>
      <c r="K23" s="28">
        <v>2713968</v>
      </c>
      <c r="L23" s="28">
        <v>2713968</v>
      </c>
      <c r="M23" s="28">
        <v>2713968</v>
      </c>
      <c r="N23" s="28">
        <f t="shared" ref="N23:N26" si="3">B23-C23-D23-E23-F23-G23-H23-I23-J23-K23-L23-M23</f>
        <v>2713964</v>
      </c>
      <c r="O23" s="28">
        <f t="shared" si="2"/>
        <v>32567612</v>
      </c>
    </row>
    <row r="24" spans="1:15" x14ac:dyDescent="0.2">
      <c r="A24" s="27" t="s">
        <v>147</v>
      </c>
      <c r="B24" s="49">
        <v>408828641</v>
      </c>
      <c r="C24" s="28">
        <v>34069053</v>
      </c>
      <c r="D24" s="28">
        <v>34069053</v>
      </c>
      <c r="E24" s="28">
        <v>34069053</v>
      </c>
      <c r="F24" s="28">
        <v>34069053</v>
      </c>
      <c r="G24" s="28">
        <v>34069053</v>
      </c>
      <c r="H24" s="28">
        <v>34069053</v>
      </c>
      <c r="I24" s="28">
        <v>34069053</v>
      </c>
      <c r="J24" s="28">
        <v>34069053</v>
      </c>
      <c r="K24" s="28">
        <v>34069053</v>
      </c>
      <c r="L24" s="28">
        <v>34069053</v>
      </c>
      <c r="M24" s="28">
        <v>34069053</v>
      </c>
      <c r="N24" s="28">
        <f t="shared" si="3"/>
        <v>34069058</v>
      </c>
      <c r="O24" s="28">
        <f>SUM(C24:N24)</f>
        <v>408828641</v>
      </c>
    </row>
    <row r="25" spans="1:15" ht="18" customHeight="1" x14ac:dyDescent="0.2">
      <c r="A25" s="27" t="s">
        <v>148</v>
      </c>
      <c r="B25" s="28">
        <v>14005000</v>
      </c>
      <c r="C25" s="28">
        <v>1167083</v>
      </c>
      <c r="D25" s="28">
        <v>1167083</v>
      </c>
      <c r="E25" s="28">
        <v>1167083</v>
      </c>
      <c r="F25" s="28">
        <v>1167083</v>
      </c>
      <c r="G25" s="28">
        <v>1167083</v>
      </c>
      <c r="H25" s="28">
        <v>1167083</v>
      </c>
      <c r="I25" s="28">
        <v>1167083</v>
      </c>
      <c r="J25" s="28">
        <v>1167083</v>
      </c>
      <c r="K25" s="28">
        <v>1167083</v>
      </c>
      <c r="L25" s="28">
        <v>1167083</v>
      </c>
      <c r="M25" s="28">
        <v>1167083</v>
      </c>
      <c r="N25" s="28">
        <f t="shared" si="3"/>
        <v>1167087</v>
      </c>
      <c r="O25" s="28">
        <f>SUM(C25:N25)</f>
        <v>14005000</v>
      </c>
    </row>
    <row r="26" spans="1:15" ht="22.5" x14ac:dyDescent="0.2">
      <c r="A26" s="64" t="s">
        <v>157</v>
      </c>
      <c r="B26" s="28">
        <v>135707092</v>
      </c>
      <c r="C26" s="28">
        <v>750000</v>
      </c>
      <c r="D26" s="28">
        <v>11960000</v>
      </c>
      <c r="E26" s="28">
        <v>12560000</v>
      </c>
      <c r="F26" s="28">
        <v>11960000</v>
      </c>
      <c r="G26" s="28">
        <f>11960000+1433000</f>
        <v>13393000</v>
      </c>
      <c r="H26" s="28">
        <v>11960000</v>
      </c>
      <c r="I26" s="28">
        <f>11960000+1350000</f>
        <v>13310000</v>
      </c>
      <c r="J26" s="28">
        <v>11960000</v>
      </c>
      <c r="K26" s="28">
        <v>11960000</v>
      </c>
      <c r="L26" s="28">
        <v>11960000</v>
      </c>
      <c r="M26" s="28">
        <v>11960000</v>
      </c>
      <c r="N26" s="28">
        <f t="shared" si="3"/>
        <v>11974092</v>
      </c>
      <c r="O26" s="28">
        <f t="shared" si="2"/>
        <v>135707092</v>
      </c>
    </row>
    <row r="27" spans="1:15" s="50" customFormat="1" x14ac:dyDescent="0.2">
      <c r="A27" s="48" t="s">
        <v>158</v>
      </c>
      <c r="B27" s="49">
        <v>15000000</v>
      </c>
      <c r="C27" s="28"/>
      <c r="D27" s="28"/>
      <c r="E27" s="28">
        <v>5000000</v>
      </c>
      <c r="F27" s="28"/>
      <c r="G27" s="28"/>
      <c r="H27" s="28"/>
      <c r="I27" s="28"/>
      <c r="J27" s="28"/>
      <c r="K27" s="28">
        <v>5000000</v>
      </c>
      <c r="L27" s="28"/>
      <c r="M27" s="28">
        <v>5000000</v>
      </c>
      <c r="N27" s="28"/>
      <c r="O27" s="49">
        <f>SUM(C27:N27)</f>
        <v>15000000</v>
      </c>
    </row>
    <row r="28" spans="1:15" x14ac:dyDescent="0.2">
      <c r="A28" s="27" t="s">
        <v>149</v>
      </c>
      <c r="B28" s="28">
        <v>1433335193</v>
      </c>
      <c r="C28" s="28"/>
      <c r="D28" s="28">
        <f>3932000+15917525+2126</f>
        <v>19851651</v>
      </c>
      <c r="E28" s="28">
        <v>1969135</v>
      </c>
      <c r="F28" s="28">
        <f>12931192+3491422</f>
        <v>16422614</v>
      </c>
      <c r="G28" s="28">
        <f>37352243+10085105+3590464+254000+38100+381616274+103036394</f>
        <v>535972580</v>
      </c>
      <c r="H28" s="28">
        <f>B28-D28-E28-F28-G28-K28-L28-I28</f>
        <v>215226626</v>
      </c>
      <c r="I28" s="28">
        <f>17789009+4803033</f>
        <v>22592042</v>
      </c>
      <c r="J28" s="28"/>
      <c r="K28" s="28">
        <f>609790566+1509979</f>
        <v>611300545</v>
      </c>
      <c r="L28" s="28">
        <v>10000000</v>
      </c>
      <c r="M28" s="28"/>
      <c r="N28" s="28"/>
      <c r="O28" s="28">
        <f>SUM(C28:N28)</f>
        <v>1433335193</v>
      </c>
    </row>
    <row r="29" spans="1:15" ht="36.75" customHeight="1" x14ac:dyDescent="0.2">
      <c r="A29" s="64" t="s">
        <v>150</v>
      </c>
      <c r="B29" s="28">
        <v>17903476</v>
      </c>
      <c r="C29" s="28"/>
      <c r="D29" s="28"/>
      <c r="E29" s="28">
        <f>(8907883+2405129)-4500000</f>
        <v>6813012</v>
      </c>
      <c r="F29" s="28"/>
      <c r="G29" s="28">
        <v>2000000</v>
      </c>
      <c r="H29" s="28">
        <v>1000000</v>
      </c>
      <c r="I29" s="28"/>
      <c r="J29" s="28">
        <v>3590464</v>
      </c>
      <c r="K29" s="28">
        <v>4500000</v>
      </c>
      <c r="L29" s="28"/>
      <c r="M29" s="28"/>
      <c r="N29" s="28"/>
      <c r="O29" s="28">
        <f t="shared" si="2"/>
        <v>17903476</v>
      </c>
    </row>
    <row r="30" spans="1:15" x14ac:dyDescent="0.2">
      <c r="A30" s="27" t="s">
        <v>151</v>
      </c>
      <c r="B30" s="4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>
        <f t="shared" si="2"/>
        <v>0</v>
      </c>
    </row>
    <row r="31" spans="1:15" x14ac:dyDescent="0.2">
      <c r="A31" s="27" t="s">
        <v>229</v>
      </c>
      <c r="B31" s="49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>
        <f t="shared" si="2"/>
        <v>0</v>
      </c>
    </row>
    <row r="32" spans="1:15" x14ac:dyDescent="0.2">
      <c r="A32" s="27" t="s">
        <v>230</v>
      </c>
      <c r="B32" s="49">
        <v>25628801</v>
      </c>
      <c r="C32" s="28">
        <v>10353836</v>
      </c>
      <c r="D32" s="28"/>
      <c r="E32" s="28">
        <f>15274965/2</f>
        <v>7637482.5</v>
      </c>
      <c r="F32" s="28"/>
      <c r="G32" s="28"/>
      <c r="H32" s="28"/>
      <c r="I32" s="28"/>
      <c r="J32" s="28"/>
      <c r="K32" s="28">
        <f>B32-C32-E32</f>
        <v>7637482.5</v>
      </c>
      <c r="L32" s="28"/>
      <c r="M32" s="28"/>
      <c r="N32" s="28"/>
      <c r="O32" s="28">
        <f t="shared" si="2"/>
        <v>25628801</v>
      </c>
    </row>
    <row r="33" spans="1:15" x14ac:dyDescent="0.2">
      <c r="A33" s="32" t="s">
        <v>46</v>
      </c>
      <c r="B33" s="33">
        <f>SUM(B22:B32)</f>
        <v>2293178294</v>
      </c>
      <c r="C33" s="33">
        <f t="shared" ref="C33:N33" si="4">SUM(C22:C32)</f>
        <v>66570813</v>
      </c>
      <c r="D33" s="33">
        <f t="shared" si="4"/>
        <v>87278628</v>
      </c>
      <c r="E33" s="33">
        <f t="shared" si="4"/>
        <v>89446606.5</v>
      </c>
      <c r="F33" s="33">
        <f t="shared" si="4"/>
        <v>83849591</v>
      </c>
      <c r="G33" s="33">
        <f t="shared" si="4"/>
        <v>606832557</v>
      </c>
      <c r="H33" s="33">
        <f t="shared" si="4"/>
        <v>283653603</v>
      </c>
      <c r="I33" s="33">
        <f t="shared" si="4"/>
        <v>91369019</v>
      </c>
      <c r="J33" s="33">
        <f t="shared" si="4"/>
        <v>71017441</v>
      </c>
      <c r="K33" s="33">
        <f t="shared" si="4"/>
        <v>695865004.5</v>
      </c>
      <c r="L33" s="33">
        <f t="shared" si="4"/>
        <v>77426977</v>
      </c>
      <c r="M33" s="33">
        <f t="shared" si="4"/>
        <v>72426977</v>
      </c>
      <c r="N33" s="33">
        <f t="shared" si="4"/>
        <v>67441077</v>
      </c>
      <c r="O33" s="33">
        <f>SUM(O22:O32)</f>
        <v>2293178294</v>
      </c>
    </row>
    <row r="35" spans="1:15" x14ac:dyDescent="0.2">
      <c r="B35" s="381"/>
    </row>
    <row r="37" spans="1:15" x14ac:dyDescent="0.2">
      <c r="B37" s="66"/>
      <c r="L37" s="2"/>
    </row>
  </sheetData>
  <mergeCells count="1">
    <mergeCell ref="A3:O3"/>
  </mergeCells>
  <phoneticPr fontId="2" type="noConversion"/>
  <pageMargins left="0.75" right="0.75" top="1" bottom="1" header="0.5" footer="0.5"/>
  <pageSetup paperSize="9" scale="61" orientation="landscape" r:id="rId1"/>
  <headerFooter alignWithMargins="0">
    <oddHeader>&amp;R4 sz. melléklet
.../2018.(III.03.) Egyek Önk.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M38"/>
  <sheetViews>
    <sheetView zoomScale="110" zoomScaleNormal="110" workbookViewId="0">
      <selection activeCell="A2" sqref="A2:H3"/>
    </sheetView>
  </sheetViews>
  <sheetFormatPr defaultRowHeight="12.75" x14ac:dyDescent="0.2"/>
  <cols>
    <col min="1" max="1" width="33.28515625" style="4" customWidth="1"/>
    <col min="2" max="2" width="18.28515625" style="4" customWidth="1"/>
    <col min="3" max="3" width="18.7109375" style="4" customWidth="1"/>
    <col min="4" max="4" width="17" style="4" customWidth="1"/>
    <col min="5" max="5" width="33.7109375" style="4" customWidth="1"/>
    <col min="6" max="6" width="16.85546875" style="4" customWidth="1"/>
    <col min="7" max="7" width="16.5703125" style="86" customWidth="1"/>
    <col min="8" max="8" width="19.7109375" style="4" customWidth="1"/>
    <col min="9" max="9" width="17.5703125" bestFit="1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3" x14ac:dyDescent="0.2">
      <c r="G1" s="85"/>
    </row>
    <row r="2" spans="1:13" x14ac:dyDescent="0.2">
      <c r="A2" s="626" t="s">
        <v>376</v>
      </c>
      <c r="B2" s="626"/>
      <c r="C2" s="626"/>
      <c r="D2" s="626"/>
      <c r="E2" s="626"/>
      <c r="F2" s="626"/>
      <c r="G2" s="626"/>
      <c r="H2" s="626"/>
    </row>
    <row r="3" spans="1:13" ht="35.25" customHeight="1" x14ac:dyDescent="0.2">
      <c r="A3" s="626"/>
      <c r="B3" s="626"/>
      <c r="C3" s="626"/>
      <c r="D3" s="626"/>
      <c r="E3" s="626"/>
      <c r="F3" s="626"/>
      <c r="G3" s="626"/>
      <c r="H3" s="626"/>
    </row>
    <row r="4" spans="1:13" x14ac:dyDescent="0.2">
      <c r="A4" s="10"/>
      <c r="B4" s="10"/>
      <c r="D4" s="10"/>
    </row>
    <row r="5" spans="1:13" ht="13.5" thickBot="1" x14ac:dyDescent="0.25">
      <c r="G5" s="627" t="s">
        <v>12</v>
      </c>
      <c r="H5" s="627"/>
    </row>
    <row r="6" spans="1:13" x14ac:dyDescent="0.2">
      <c r="A6" s="637" t="s">
        <v>319</v>
      </c>
      <c r="B6" s="623" t="s">
        <v>373</v>
      </c>
      <c r="C6" s="623" t="s">
        <v>374</v>
      </c>
      <c r="D6" s="623" t="s">
        <v>375</v>
      </c>
      <c r="E6" s="637" t="s">
        <v>1</v>
      </c>
      <c r="F6" s="623" t="s">
        <v>373</v>
      </c>
      <c r="G6" s="623" t="s">
        <v>374</v>
      </c>
      <c r="H6" s="623" t="s">
        <v>375</v>
      </c>
    </row>
    <row r="7" spans="1:13" x14ac:dyDescent="0.2">
      <c r="A7" s="638"/>
      <c r="B7" s="624"/>
      <c r="C7" s="624"/>
      <c r="D7" s="624"/>
      <c r="E7" s="638"/>
      <c r="F7" s="624"/>
      <c r="G7" s="624"/>
      <c r="H7" s="624"/>
    </row>
    <row r="8" spans="1:13" ht="13.5" thickBot="1" x14ac:dyDescent="0.25">
      <c r="A8" s="639"/>
      <c r="B8" s="625"/>
      <c r="C8" s="625"/>
      <c r="D8" s="625"/>
      <c r="E8" s="639"/>
      <c r="F8" s="625"/>
      <c r="G8" s="625"/>
      <c r="H8" s="625"/>
    </row>
    <row r="9" spans="1:13" ht="26.25" thickBot="1" x14ac:dyDescent="0.25">
      <c r="A9" s="255"/>
      <c r="B9" s="151"/>
      <c r="C9" s="151"/>
      <c r="D9" s="155"/>
      <c r="E9" s="158" t="s">
        <v>112</v>
      </c>
      <c r="F9" s="162">
        <v>737672630</v>
      </c>
      <c r="G9" s="162">
        <v>694311595</v>
      </c>
      <c r="H9" s="318">
        <f>'3.m. Mérleg '!F5</f>
        <v>328498680</v>
      </c>
      <c r="I9" s="427"/>
      <c r="L9" s="66"/>
    </row>
    <row r="10" spans="1:13" ht="25.5" x14ac:dyDescent="0.2">
      <c r="A10" s="255" t="s">
        <v>146</v>
      </c>
      <c r="B10" s="151">
        <v>502547283</v>
      </c>
      <c r="C10" s="151">
        <v>474384466</v>
      </c>
      <c r="D10" s="155">
        <v>210202479</v>
      </c>
      <c r="E10" s="314" t="s">
        <v>118</v>
      </c>
      <c r="F10" s="541"/>
      <c r="G10" s="541"/>
      <c r="H10" s="542">
        <f>1502501030-H22</f>
        <v>176485669</v>
      </c>
      <c r="I10" s="427"/>
      <c r="L10" s="66"/>
    </row>
    <row r="11" spans="1:13" ht="25.5" customHeight="1" x14ac:dyDescent="0.2">
      <c r="A11" s="256" t="s">
        <v>156</v>
      </c>
      <c r="B11" s="150">
        <v>65742544</v>
      </c>
      <c r="C11" s="150">
        <v>60898284</v>
      </c>
      <c r="D11" s="156">
        <v>32567612</v>
      </c>
      <c r="E11" s="159" t="s">
        <v>177</v>
      </c>
      <c r="F11" s="163">
        <v>87823716</v>
      </c>
      <c r="G11" s="163">
        <v>77368771</v>
      </c>
      <c r="H11" s="319">
        <v>97402000</v>
      </c>
      <c r="I11" s="427"/>
      <c r="L11" s="66"/>
    </row>
    <row r="12" spans="1:13" ht="14.25" customHeight="1" x14ac:dyDescent="0.2">
      <c r="A12" s="257" t="s">
        <v>147</v>
      </c>
      <c r="B12" s="150">
        <v>182605783</v>
      </c>
      <c r="C12" s="150">
        <v>423032998</v>
      </c>
      <c r="D12" s="156">
        <v>408828641</v>
      </c>
      <c r="E12" s="160" t="s">
        <v>110</v>
      </c>
      <c r="F12" s="163">
        <v>69157104</v>
      </c>
      <c r="G12" s="163">
        <v>51494750</v>
      </c>
      <c r="H12" s="319">
        <f>75876147-H24</f>
        <v>60108445</v>
      </c>
      <c r="I12" s="426"/>
      <c r="J12" s="1"/>
      <c r="K12" s="94"/>
      <c r="L12" s="66"/>
    </row>
    <row r="13" spans="1:13" x14ac:dyDescent="0.2">
      <c r="A13" s="257" t="s">
        <v>148</v>
      </c>
      <c r="B13" s="150">
        <v>17717099</v>
      </c>
      <c r="C13" s="150">
        <v>9507143</v>
      </c>
      <c r="D13" s="156">
        <v>14005000</v>
      </c>
      <c r="E13" s="154" t="s">
        <v>129</v>
      </c>
      <c r="F13" s="163">
        <v>13637767</v>
      </c>
      <c r="G13" s="163">
        <v>13653774</v>
      </c>
      <c r="H13" s="319">
        <v>17224731</v>
      </c>
    </row>
    <row r="14" spans="1:13" x14ac:dyDescent="0.2">
      <c r="A14" s="257" t="s">
        <v>159</v>
      </c>
      <c r="B14" s="150">
        <v>103133455</v>
      </c>
      <c r="C14" s="150">
        <v>108934943</v>
      </c>
      <c r="D14" s="156">
        <v>145707092</v>
      </c>
      <c r="E14" s="159" t="s">
        <v>178</v>
      </c>
      <c r="F14" s="392">
        <v>172630161</v>
      </c>
      <c r="G14" s="392">
        <f>G15+G16</f>
        <v>589410902</v>
      </c>
      <c r="H14" s="319">
        <f>SUM(H15:H16)</f>
        <v>101425215</v>
      </c>
      <c r="I14" s="428"/>
      <c r="K14" s="2"/>
    </row>
    <row r="15" spans="1:13" ht="15.75" customHeight="1" x14ac:dyDescent="0.2">
      <c r="A15" s="257" t="s">
        <v>160</v>
      </c>
      <c r="B15" s="150">
        <v>103133455</v>
      </c>
      <c r="C15" s="150"/>
      <c r="D15" s="156">
        <v>10000000</v>
      </c>
      <c r="E15" s="160" t="s">
        <v>293</v>
      </c>
      <c r="F15" s="392">
        <v>162501555</v>
      </c>
      <c r="G15" s="392">
        <v>526241051</v>
      </c>
      <c r="H15" s="152">
        <v>101425215</v>
      </c>
    </row>
    <row r="16" spans="1:13" ht="15.75" customHeight="1" thickBot="1" x14ac:dyDescent="0.25">
      <c r="A16" s="258" t="s">
        <v>154</v>
      </c>
      <c r="B16" s="254"/>
      <c r="C16" s="153">
        <v>209064070</v>
      </c>
      <c r="D16" s="157">
        <v>10353836</v>
      </c>
      <c r="E16" s="161" t="s">
        <v>295</v>
      </c>
      <c r="F16" s="164">
        <v>10128606</v>
      </c>
      <c r="G16" s="164">
        <v>63169851</v>
      </c>
      <c r="H16" s="165"/>
      <c r="L16" s="66"/>
      <c r="M16" s="66"/>
    </row>
    <row r="17" spans="1:13" ht="13.5" thickBot="1" x14ac:dyDescent="0.25">
      <c r="A17" s="13" t="s">
        <v>18</v>
      </c>
      <c r="B17" s="316">
        <f>SUM(B9+B11+B12+B13+B14+B16)</f>
        <v>369198881</v>
      </c>
      <c r="C17" s="316">
        <f>SUM(C9+C11+C12+C13+C14+C16)</f>
        <v>811437438</v>
      </c>
      <c r="D17" s="316">
        <f>SUM(D10:D16)-D15</f>
        <v>821664660</v>
      </c>
      <c r="E17" s="317" t="s">
        <v>19</v>
      </c>
      <c r="F17" s="316">
        <f>F9+F11+F12+F13+F14</f>
        <v>1080921378</v>
      </c>
      <c r="G17" s="316">
        <f>G9+G11+G12+G13+G14</f>
        <v>1426239792</v>
      </c>
      <c r="H17" s="316">
        <f>H9+H10+H11+H12+H13+H14</f>
        <v>781144740</v>
      </c>
      <c r="I17" s="381"/>
      <c r="J17" s="66"/>
      <c r="L17" s="381"/>
    </row>
    <row r="18" spans="1:13" x14ac:dyDescent="0.2">
      <c r="A18" s="631"/>
      <c r="B18" s="632"/>
      <c r="C18" s="632"/>
      <c r="D18" s="632"/>
      <c r="E18" s="632"/>
      <c r="F18" s="632"/>
      <c r="G18" s="632"/>
      <c r="H18" s="633"/>
      <c r="J18" s="66"/>
      <c r="L18" s="66"/>
    </row>
    <row r="19" spans="1:13" ht="13.5" thickBot="1" x14ac:dyDescent="0.25">
      <c r="A19" s="634"/>
      <c r="B19" s="635"/>
      <c r="C19" s="635"/>
      <c r="D19" s="635"/>
      <c r="E19" s="635"/>
      <c r="F19" s="635"/>
      <c r="G19" s="635"/>
      <c r="H19" s="636"/>
      <c r="J19" s="66"/>
    </row>
    <row r="20" spans="1:13" ht="41.25" customHeight="1" thickBot="1" x14ac:dyDescent="0.25">
      <c r="A20" s="414" t="s">
        <v>20</v>
      </c>
      <c r="B20" s="412" t="s">
        <v>373</v>
      </c>
      <c r="C20" s="412" t="s">
        <v>374</v>
      </c>
      <c r="D20" s="413" t="s">
        <v>375</v>
      </c>
      <c r="E20" s="416" t="s">
        <v>21</v>
      </c>
      <c r="F20" s="415" t="s">
        <v>373</v>
      </c>
      <c r="G20" s="415" t="s">
        <v>374</v>
      </c>
      <c r="H20" s="415" t="s">
        <v>375</v>
      </c>
      <c r="J20" s="66"/>
      <c r="L20" s="66"/>
      <c r="M20" s="66"/>
    </row>
    <row r="21" spans="1:13" ht="27" customHeight="1" x14ac:dyDescent="0.2">
      <c r="A21" s="305"/>
      <c r="B21" s="410"/>
      <c r="C21" s="410"/>
      <c r="D21" s="411"/>
      <c r="E21" s="315" t="s">
        <v>294</v>
      </c>
      <c r="F21" s="425">
        <v>28252861</v>
      </c>
      <c r="G21" s="425">
        <v>26592133</v>
      </c>
      <c r="H21" s="318"/>
      <c r="J21" s="381"/>
      <c r="L21" s="66"/>
      <c r="M21" s="66"/>
    </row>
    <row r="22" spans="1:13" ht="25.5" x14ac:dyDescent="0.2">
      <c r="A22" s="305"/>
      <c r="B22" s="306"/>
      <c r="C22" s="306"/>
      <c r="D22" s="313"/>
      <c r="E22" s="314" t="s">
        <v>118</v>
      </c>
      <c r="F22" s="163">
        <f>994671242-872001333</f>
        <v>122669909</v>
      </c>
      <c r="G22" s="163">
        <v>671697561</v>
      </c>
      <c r="H22" s="319">
        <v>1326015361</v>
      </c>
      <c r="J22" s="381"/>
      <c r="M22" s="66"/>
    </row>
    <row r="23" spans="1:13" x14ac:dyDescent="0.2">
      <c r="A23" s="305"/>
      <c r="B23" s="306"/>
      <c r="C23" s="306"/>
      <c r="D23" s="313"/>
      <c r="E23" s="159" t="s">
        <v>177</v>
      </c>
      <c r="F23" s="163">
        <v>24142740</v>
      </c>
      <c r="G23" s="163">
        <v>21268676</v>
      </c>
      <c r="H23" s="319"/>
      <c r="J23" s="381"/>
      <c r="M23" s="66"/>
    </row>
    <row r="24" spans="1:13" x14ac:dyDescent="0.2">
      <c r="A24" s="305"/>
      <c r="B24" s="306"/>
      <c r="C24" s="306"/>
      <c r="D24" s="313"/>
      <c r="E24" s="160" t="s">
        <v>110</v>
      </c>
      <c r="F24" s="163">
        <v>57843002</v>
      </c>
      <c r="G24" s="163">
        <v>43070209</v>
      </c>
      <c r="H24" s="319">
        <f>25767702-10000000</f>
        <v>15767702</v>
      </c>
      <c r="J24" s="381"/>
    </row>
    <row r="25" spans="1:13" x14ac:dyDescent="0.2">
      <c r="A25" s="305" t="s">
        <v>302</v>
      </c>
      <c r="B25" s="150"/>
      <c r="C25" s="150"/>
      <c r="D25" s="156">
        <v>5000000</v>
      </c>
      <c r="E25" s="159" t="s">
        <v>132</v>
      </c>
      <c r="F25" s="163">
        <v>3046456</v>
      </c>
      <c r="G25" s="163">
        <v>53524882</v>
      </c>
      <c r="H25" s="319">
        <v>21112694</v>
      </c>
      <c r="J25" s="381"/>
    </row>
    <row r="26" spans="1:13" x14ac:dyDescent="0.2">
      <c r="A26" s="154" t="s">
        <v>149</v>
      </c>
      <c r="B26" s="150">
        <v>80340781</v>
      </c>
      <c r="C26" s="150">
        <v>843418159</v>
      </c>
      <c r="D26" s="156">
        <v>1433335193</v>
      </c>
      <c r="E26" s="159" t="s">
        <v>120</v>
      </c>
      <c r="F26" s="163">
        <v>0</v>
      </c>
      <c r="G26" s="163">
        <v>0</v>
      </c>
      <c r="H26" s="319"/>
      <c r="J26" s="381"/>
    </row>
    <row r="27" spans="1:13" x14ac:dyDescent="0.2">
      <c r="A27" s="154" t="s">
        <v>150</v>
      </c>
      <c r="B27" s="150">
        <v>58899410</v>
      </c>
      <c r="C27" s="150">
        <v>39441130</v>
      </c>
      <c r="D27" s="156">
        <v>17903476</v>
      </c>
      <c r="E27" s="160" t="s">
        <v>179</v>
      </c>
      <c r="F27" s="392">
        <v>61926154</v>
      </c>
      <c r="G27" s="392">
        <v>574875009</v>
      </c>
      <c r="H27" s="417">
        <f>SUM(H28:H29)</f>
        <v>149137797</v>
      </c>
      <c r="J27" s="381"/>
    </row>
    <row r="28" spans="1:13" ht="15" customHeight="1" x14ac:dyDescent="0.2">
      <c r="A28" s="154" t="s">
        <v>151</v>
      </c>
      <c r="B28" s="150">
        <v>1500000</v>
      </c>
      <c r="C28" s="150">
        <v>1207165</v>
      </c>
      <c r="D28" s="156"/>
      <c r="E28" s="159" t="s">
        <v>312</v>
      </c>
      <c r="F28" s="392">
        <v>0</v>
      </c>
      <c r="G28" s="392">
        <v>48633958</v>
      </c>
      <c r="H28" s="319">
        <f>'3.m. Mérleg '!F37</f>
        <v>97249817</v>
      </c>
      <c r="J28" s="381"/>
    </row>
    <row r="29" spans="1:13" ht="15" customHeight="1" thickBot="1" x14ac:dyDescent="0.25">
      <c r="A29" s="304" t="s">
        <v>154</v>
      </c>
      <c r="B29" s="150">
        <v>155780666</v>
      </c>
      <c r="C29" s="150">
        <v>10449365</v>
      </c>
      <c r="D29" s="156">
        <v>15274965</v>
      </c>
      <c r="E29" s="310" t="s">
        <v>292</v>
      </c>
      <c r="F29" s="393">
        <v>61926154</v>
      </c>
      <c r="G29" s="393">
        <v>526241051</v>
      </c>
      <c r="H29" s="311">
        <v>51887980</v>
      </c>
      <c r="J29" s="381"/>
    </row>
    <row r="30" spans="1:13" ht="13.5" thickBot="1" x14ac:dyDescent="0.25">
      <c r="A30" s="312" t="s">
        <v>22</v>
      </c>
      <c r="B30" s="308">
        <f>SUM(B20:B29)</f>
        <v>296520857</v>
      </c>
      <c r="C30" s="308">
        <f>SUM(C20:C29)</f>
        <v>894515819</v>
      </c>
      <c r="D30" s="309">
        <f>SUM(D20:D29)</f>
        <v>1471513634</v>
      </c>
      <c r="E30" s="307" t="s">
        <v>23</v>
      </c>
      <c r="F30" s="308">
        <f>SUM(F21:F27)</f>
        <v>297881122</v>
      </c>
      <c r="G30" s="308">
        <f>SUM(G21:G27)</f>
        <v>1391028470</v>
      </c>
      <c r="H30" s="309">
        <f>H21+H22+H23+H24+H25+H26+H27</f>
        <v>1512033554</v>
      </c>
      <c r="J30" s="381"/>
    </row>
    <row r="31" spans="1:13" ht="27" customHeight="1" x14ac:dyDescent="0.35">
      <c r="A31" s="628"/>
      <c r="B31" s="629"/>
      <c r="C31" s="629"/>
      <c r="D31" s="629"/>
      <c r="E31" s="629"/>
      <c r="F31" s="629"/>
      <c r="G31" s="629"/>
      <c r="H31" s="630"/>
      <c r="J31" s="381"/>
    </row>
    <row r="32" spans="1:13" ht="13.5" thickBot="1" x14ac:dyDescent="0.25">
      <c r="A32" s="14" t="s">
        <v>24</v>
      </c>
      <c r="B32" s="149">
        <f>B17+B30</f>
        <v>665719738</v>
      </c>
      <c r="C32" s="149">
        <f>C17+C30</f>
        <v>1705953257</v>
      </c>
      <c r="D32" s="149">
        <f>D17+D30</f>
        <v>2293178294</v>
      </c>
      <c r="E32" s="15" t="s">
        <v>24</v>
      </c>
      <c r="F32" s="149">
        <f>F17+F30</f>
        <v>1378802500</v>
      </c>
      <c r="G32" s="149">
        <f>G17+G30</f>
        <v>2817268262</v>
      </c>
      <c r="H32" s="149">
        <f>H17+H30</f>
        <v>2293178294</v>
      </c>
      <c r="J32" s="381"/>
    </row>
    <row r="33" spans="3:8" x14ac:dyDescent="0.2">
      <c r="G33" s="424"/>
      <c r="H33" s="65"/>
    </row>
    <row r="34" spans="3:8" x14ac:dyDescent="0.2">
      <c r="C34" s="7"/>
      <c r="D34" s="7"/>
      <c r="F34" s="65"/>
      <c r="G34" s="65"/>
      <c r="H34" s="7"/>
    </row>
    <row r="35" spans="3:8" x14ac:dyDescent="0.2">
      <c r="C35" s="535"/>
      <c r="D35" s="65"/>
      <c r="E35" s="535"/>
      <c r="G35" s="424"/>
    </row>
    <row r="36" spans="3:8" x14ac:dyDescent="0.2">
      <c r="D36" s="65"/>
      <c r="F36" s="535"/>
    </row>
    <row r="37" spans="3:8" x14ac:dyDescent="0.2">
      <c r="D37" s="65"/>
    </row>
    <row r="38" spans="3:8" x14ac:dyDescent="0.2">
      <c r="D38" s="65"/>
    </row>
  </sheetData>
  <mergeCells count="12">
    <mergeCell ref="G6:G8"/>
    <mergeCell ref="H6:H8"/>
    <mergeCell ref="A2:H3"/>
    <mergeCell ref="G5:H5"/>
    <mergeCell ref="A31:H31"/>
    <mergeCell ref="A18:H19"/>
    <mergeCell ref="B6:B8"/>
    <mergeCell ref="A6:A8"/>
    <mergeCell ref="E6:E8"/>
    <mergeCell ref="C6:C8"/>
    <mergeCell ref="D6:D8"/>
    <mergeCell ref="F6:F8"/>
  </mergeCells>
  <phoneticPr fontId="2" type="noConversion"/>
  <pageMargins left="0.78740157480314965" right="0.19685039370078741" top="0.98425196850393704" bottom="0.98425196850393704" header="0.51181102362204722" footer="0.51181102362204722"/>
  <pageSetup paperSize="9" scale="69" orientation="landscape" r:id="rId1"/>
  <headerFooter alignWithMargins="0">
    <oddHeader>&amp;R5. sz. melléklet
.../2020.(III.03.) Egyek Önk.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16" zoomScale="130" zoomScaleNormal="130" workbookViewId="0">
      <selection activeCell="I18" sqref="I18"/>
    </sheetView>
  </sheetViews>
  <sheetFormatPr defaultRowHeight="12.75" x14ac:dyDescent="0.2"/>
  <cols>
    <col min="2" max="2" width="26.85546875" customWidth="1"/>
    <col min="3" max="3" width="16.42578125" customWidth="1"/>
    <col min="4" max="4" width="16.28515625" customWidth="1"/>
    <col min="5" max="6" width="16.7109375" customWidth="1"/>
    <col min="7" max="7" width="14" customWidth="1"/>
    <col min="8" max="9" width="11" customWidth="1"/>
    <col min="10" max="10" width="11.140625" customWidth="1"/>
    <col min="11" max="11" width="11.42578125" customWidth="1"/>
    <col min="12" max="12" width="10.7109375" customWidth="1"/>
    <col min="13" max="13" width="11.28515625" customWidth="1"/>
    <col min="14" max="14" width="12.140625" customWidth="1"/>
    <col min="15" max="15" width="12" customWidth="1"/>
    <col min="16" max="16" width="11.140625" customWidth="1"/>
  </cols>
  <sheetData>
    <row r="1" spans="1:8" s="87" customFormat="1" ht="33" customHeight="1" x14ac:dyDescent="0.25">
      <c r="A1" s="645" t="s">
        <v>87</v>
      </c>
      <c r="B1" s="645"/>
      <c r="C1" s="645"/>
      <c r="D1" s="645"/>
      <c r="E1" s="645"/>
      <c r="F1" s="645"/>
      <c r="G1" s="645"/>
    </row>
    <row r="2" spans="1:8" s="87" customFormat="1" ht="15.95" customHeight="1" thickBot="1" x14ac:dyDescent="0.3">
      <c r="A2" s="123"/>
      <c r="B2" s="123"/>
      <c r="C2" s="646"/>
      <c r="D2" s="646"/>
      <c r="E2" s="647" t="s">
        <v>411</v>
      </c>
      <c r="F2" s="647"/>
      <c r="G2" s="647"/>
      <c r="H2" s="89"/>
    </row>
    <row r="3" spans="1:8" s="87" customFormat="1" ht="63" customHeight="1" x14ac:dyDescent="0.25">
      <c r="A3" s="648" t="s">
        <v>53</v>
      </c>
      <c r="B3" s="650" t="s">
        <v>89</v>
      </c>
      <c r="C3" s="652" t="s">
        <v>84</v>
      </c>
      <c r="D3" s="653"/>
      <c r="E3" s="653"/>
      <c r="F3" s="654"/>
      <c r="G3" s="655" t="s">
        <v>368</v>
      </c>
    </row>
    <row r="4" spans="1:8" s="87" customFormat="1" ht="15" x14ac:dyDescent="0.25">
      <c r="A4" s="649"/>
      <c r="B4" s="651"/>
      <c r="C4" s="90" t="s">
        <v>260</v>
      </c>
      <c r="D4" s="90" t="s">
        <v>296</v>
      </c>
      <c r="E4" s="90" t="s">
        <v>314</v>
      </c>
      <c r="F4" s="90" t="s">
        <v>324</v>
      </c>
      <c r="G4" s="656"/>
    </row>
    <row r="5" spans="1:8" s="87" customFormat="1" ht="15" x14ac:dyDescent="0.25">
      <c r="A5" s="524">
        <v>1</v>
      </c>
      <c r="B5" s="524">
        <v>2</v>
      </c>
      <c r="C5" s="524">
        <v>4</v>
      </c>
      <c r="D5" s="524">
        <v>5</v>
      </c>
      <c r="E5" s="524">
        <v>6</v>
      </c>
      <c r="F5" s="524">
        <v>7</v>
      </c>
      <c r="G5" s="524">
        <v>8</v>
      </c>
    </row>
    <row r="6" spans="1:8" s="87" customFormat="1" ht="65.25" customHeight="1" thickBot="1" x14ac:dyDescent="0.3">
      <c r="A6" s="525" t="s">
        <v>2</v>
      </c>
      <c r="B6" s="385" t="s">
        <v>369</v>
      </c>
      <c r="C6" s="526">
        <v>4919000</v>
      </c>
      <c r="D6" s="526">
        <v>7405704</v>
      </c>
      <c r="E6" s="526">
        <v>7183198</v>
      </c>
      <c r="F6" s="527">
        <v>6965404</v>
      </c>
      <c r="G6" s="528">
        <f>SUM(C6:F6)</f>
        <v>26473306</v>
      </c>
    </row>
    <row r="7" spans="1:8" s="87" customFormat="1" ht="65.25" customHeight="1" thickBot="1" x14ac:dyDescent="0.3">
      <c r="A7" s="525" t="s">
        <v>6</v>
      </c>
      <c r="B7" s="283" t="s">
        <v>243</v>
      </c>
      <c r="C7" s="529">
        <v>1482911</v>
      </c>
      <c r="D7" s="529">
        <v>1143711</v>
      </c>
      <c r="E7" s="529">
        <v>1102901</v>
      </c>
      <c r="F7" s="530">
        <v>1062641</v>
      </c>
      <c r="G7" s="528">
        <f t="shared" ref="G7:G15" si="0">SUM(C7:F7)</f>
        <v>4792164</v>
      </c>
    </row>
    <row r="8" spans="1:8" s="87" customFormat="1" ht="121.5" customHeight="1" thickBot="1" x14ac:dyDescent="0.3">
      <c r="A8" s="525" t="s">
        <v>10</v>
      </c>
      <c r="B8" s="283" t="s">
        <v>249</v>
      </c>
      <c r="C8" s="529">
        <v>211202</v>
      </c>
      <c r="D8" s="551">
        <v>164584</v>
      </c>
      <c r="E8" s="529">
        <v>158770</v>
      </c>
      <c r="F8" s="530">
        <v>153039</v>
      </c>
      <c r="G8" s="528">
        <f t="shared" si="0"/>
        <v>687595</v>
      </c>
    </row>
    <row r="9" spans="1:8" s="87" customFormat="1" ht="86.25" customHeight="1" thickBot="1" x14ac:dyDescent="0.3">
      <c r="A9" s="525" t="s">
        <v>4</v>
      </c>
      <c r="B9" s="283" t="s">
        <v>242</v>
      </c>
      <c r="C9" s="529">
        <v>47578</v>
      </c>
      <c r="D9" s="529">
        <v>38633</v>
      </c>
      <c r="E9" s="529">
        <v>37320</v>
      </c>
      <c r="F9" s="530">
        <v>36029</v>
      </c>
      <c r="G9" s="528">
        <f t="shared" si="0"/>
        <v>159560</v>
      </c>
    </row>
    <row r="10" spans="1:8" s="87" customFormat="1" ht="62.25" customHeight="1" thickBot="1" x14ac:dyDescent="0.3">
      <c r="A10" s="525" t="s">
        <v>7</v>
      </c>
      <c r="B10" s="283" t="s">
        <v>241</v>
      </c>
      <c r="C10" s="529">
        <v>1529740</v>
      </c>
      <c r="D10" s="529">
        <v>1158718</v>
      </c>
      <c r="E10" s="529">
        <v>1116616</v>
      </c>
      <c r="F10" s="530">
        <v>1075080</v>
      </c>
      <c r="G10" s="528">
        <f t="shared" si="0"/>
        <v>4880154</v>
      </c>
    </row>
    <row r="11" spans="1:8" s="87" customFormat="1" ht="65.25" customHeight="1" thickBot="1" x14ac:dyDescent="0.3">
      <c r="A11" s="525" t="s">
        <v>11</v>
      </c>
      <c r="B11" s="281" t="s">
        <v>370</v>
      </c>
      <c r="C11" s="531">
        <v>1200221</v>
      </c>
      <c r="D11" s="531">
        <v>967265</v>
      </c>
      <c r="E11" s="531">
        <v>933017</v>
      </c>
      <c r="F11" s="532">
        <v>899281</v>
      </c>
      <c r="G11" s="528">
        <f t="shared" si="0"/>
        <v>3999784</v>
      </c>
    </row>
    <row r="12" spans="1:8" s="87" customFormat="1" ht="67.5" customHeight="1" thickBot="1" x14ac:dyDescent="0.3">
      <c r="A12" s="525" t="s">
        <v>5</v>
      </c>
      <c r="B12" s="282" t="s">
        <v>262</v>
      </c>
      <c r="C12" s="529">
        <v>3097898</v>
      </c>
      <c r="D12" s="529">
        <v>2355107</v>
      </c>
      <c r="E12" s="529">
        <v>2269936</v>
      </c>
      <c r="F12" s="530">
        <v>2185828</v>
      </c>
      <c r="G12" s="528">
        <f t="shared" si="0"/>
        <v>9908769</v>
      </c>
    </row>
    <row r="13" spans="1:8" s="87" customFormat="1" ht="67.5" customHeight="1" thickBot="1" x14ac:dyDescent="0.3">
      <c r="A13" s="525" t="s">
        <v>13</v>
      </c>
      <c r="B13" s="284" t="s">
        <v>264</v>
      </c>
      <c r="C13" s="533">
        <v>405828</v>
      </c>
      <c r="D13" s="533">
        <v>320122</v>
      </c>
      <c r="E13" s="533">
        <v>308850</v>
      </c>
      <c r="F13" s="534">
        <v>297749</v>
      </c>
      <c r="G13" s="528">
        <f t="shared" si="0"/>
        <v>1332549</v>
      </c>
    </row>
    <row r="14" spans="1:8" s="87" customFormat="1" ht="67.5" customHeight="1" thickBot="1" x14ac:dyDescent="0.3">
      <c r="A14" s="525" t="s">
        <v>8</v>
      </c>
      <c r="B14" s="385" t="s">
        <v>307</v>
      </c>
      <c r="C14" s="526">
        <v>1634785</v>
      </c>
      <c r="D14" s="526">
        <v>1243023</v>
      </c>
      <c r="E14" s="526">
        <v>1200711</v>
      </c>
      <c r="F14" s="527">
        <v>1159181</v>
      </c>
      <c r="G14" s="528">
        <f t="shared" si="0"/>
        <v>5237700</v>
      </c>
    </row>
    <row r="15" spans="1:8" s="87" customFormat="1" ht="54" customHeight="1" thickBot="1" x14ac:dyDescent="0.3">
      <c r="A15" s="525" t="s">
        <v>3</v>
      </c>
      <c r="B15" s="283" t="s">
        <v>263</v>
      </c>
      <c r="C15" s="529">
        <v>2263467</v>
      </c>
      <c r="D15" s="529">
        <v>1763407</v>
      </c>
      <c r="E15" s="529">
        <v>1701573</v>
      </c>
      <c r="F15" s="530">
        <v>1640714</v>
      </c>
      <c r="G15" s="528">
        <f t="shared" si="0"/>
        <v>7369161</v>
      </c>
    </row>
    <row r="16" spans="1:8" s="87" customFormat="1" ht="54" customHeight="1" thickBot="1" x14ac:dyDescent="0.3">
      <c r="A16" s="525" t="s">
        <v>9</v>
      </c>
      <c r="B16" s="283" t="s">
        <v>371</v>
      </c>
      <c r="C16" s="529">
        <v>307458</v>
      </c>
      <c r="D16" s="529">
        <v>3315890</v>
      </c>
      <c r="E16" s="529">
        <v>5115377</v>
      </c>
      <c r="F16" s="530">
        <v>4970135</v>
      </c>
      <c r="G16" s="528">
        <f t="shared" ref="G16:G17" si="1">SUM(C16:F16)</f>
        <v>13708860</v>
      </c>
    </row>
    <row r="17" spans="1:26" s="87" customFormat="1" ht="54" customHeight="1" thickBot="1" x14ac:dyDescent="0.3">
      <c r="A17" s="525" t="s">
        <v>26</v>
      </c>
      <c r="B17" s="283" t="s">
        <v>407</v>
      </c>
      <c r="C17" s="529"/>
      <c r="D17" s="529"/>
      <c r="E17" s="529">
        <v>921700</v>
      </c>
      <c r="F17" s="530">
        <v>897660</v>
      </c>
      <c r="G17" s="528">
        <f t="shared" si="1"/>
        <v>1819360</v>
      </c>
    </row>
    <row r="18" spans="1:26" s="87" customFormat="1" ht="54" customHeight="1" thickBot="1" x14ac:dyDescent="0.3">
      <c r="A18" s="525" t="s">
        <v>16</v>
      </c>
      <c r="B18" s="283" t="s">
        <v>408</v>
      </c>
      <c r="C18" s="529"/>
      <c r="D18" s="529"/>
      <c r="E18" s="529">
        <v>945252</v>
      </c>
      <c r="F18" s="530">
        <v>920000</v>
      </c>
      <c r="G18" s="528">
        <f t="shared" ref="G18" si="2">SUM(C18:F18)</f>
        <v>1865252</v>
      </c>
    </row>
    <row r="19" spans="1:26" s="87" customFormat="1" ht="75.75" customHeight="1" thickBot="1" x14ac:dyDescent="0.3">
      <c r="A19" s="525" t="s">
        <v>66</v>
      </c>
      <c r="B19" s="283" t="s">
        <v>412</v>
      </c>
      <c r="C19" s="529"/>
      <c r="D19" s="529">
        <v>338159</v>
      </c>
      <c r="E19" s="529">
        <v>5533397</v>
      </c>
      <c r="F19" s="530">
        <v>5419331</v>
      </c>
      <c r="G19" s="528">
        <v>5229498</v>
      </c>
    </row>
    <row r="20" spans="1:26" s="87" customFormat="1" ht="15.75" thickBot="1" x14ac:dyDescent="0.3">
      <c r="A20" s="285"/>
      <c r="B20" s="286" t="s">
        <v>85</v>
      </c>
      <c r="C20" s="287">
        <f>SUM(C6:C19)</f>
        <v>17100088</v>
      </c>
      <c r="D20" s="287">
        <f>SUM(D6:D19)</f>
        <v>20214323</v>
      </c>
      <c r="E20" s="287">
        <f t="shared" ref="E20:G20" si="3">SUM(E6:E19)</f>
        <v>28528618</v>
      </c>
      <c r="F20" s="287">
        <f t="shared" si="3"/>
        <v>27682072</v>
      </c>
      <c r="G20" s="287">
        <f t="shared" si="3"/>
        <v>87463712</v>
      </c>
    </row>
    <row r="21" spans="1:26" s="87" customFormat="1" ht="30.75" customHeight="1" x14ac:dyDescent="0.25">
      <c r="A21" s="657" t="s">
        <v>365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</row>
    <row r="22" spans="1:26" s="87" customFormat="1" ht="15.75" thickBot="1" x14ac:dyDescent="0.3">
      <c r="A22" s="88"/>
      <c r="B22" s="88"/>
      <c r="O22" s="91" t="s">
        <v>83</v>
      </c>
    </row>
    <row r="23" spans="1:26" s="87" customFormat="1" ht="63.75" thickBot="1" x14ac:dyDescent="0.3">
      <c r="A23" s="374" t="s">
        <v>53</v>
      </c>
      <c r="B23" s="658" t="s">
        <v>86</v>
      </c>
      <c r="C23" s="659"/>
      <c r="D23" s="660"/>
      <c r="E23" s="419" t="s">
        <v>250</v>
      </c>
      <c r="F23" s="420" t="s">
        <v>250</v>
      </c>
      <c r="G23" s="420" t="s">
        <v>251</v>
      </c>
      <c r="H23" s="420" t="s">
        <v>252</v>
      </c>
      <c r="I23" s="420" t="s">
        <v>253</v>
      </c>
      <c r="J23" s="420" t="s">
        <v>254</v>
      </c>
      <c r="K23" s="420" t="s">
        <v>255</v>
      </c>
      <c r="L23" s="420" t="s">
        <v>261</v>
      </c>
      <c r="M23" s="420" t="s">
        <v>297</v>
      </c>
      <c r="N23" s="420" t="s">
        <v>315</v>
      </c>
      <c r="O23" s="419" t="s">
        <v>372</v>
      </c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60"/>
    </row>
    <row r="24" spans="1:26" s="87" customFormat="1" ht="16.5" thickBot="1" x14ac:dyDescent="0.3">
      <c r="A24" s="523" t="s">
        <v>2</v>
      </c>
      <c r="B24" s="642" t="s">
        <v>362</v>
      </c>
      <c r="C24" s="643"/>
      <c r="D24" s="644"/>
      <c r="E24" s="423">
        <v>6757051</v>
      </c>
      <c r="F24" s="522"/>
      <c r="G24" s="420"/>
      <c r="H24" s="522"/>
      <c r="I24" s="420"/>
      <c r="J24" s="522"/>
      <c r="K24" s="420"/>
      <c r="L24" s="521"/>
      <c r="M24" s="522"/>
      <c r="N24" s="521"/>
      <c r="O24" s="41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60"/>
    </row>
    <row r="25" spans="1:26" s="87" customFormat="1" ht="18.75" customHeight="1" thickBot="1" x14ac:dyDescent="0.3">
      <c r="A25" s="418" t="s">
        <v>6</v>
      </c>
      <c r="B25" s="642" t="s">
        <v>360</v>
      </c>
      <c r="C25" s="643"/>
      <c r="D25" s="644"/>
      <c r="E25" s="544">
        <v>6924530</v>
      </c>
      <c r="F25" s="546"/>
      <c r="G25" s="548"/>
      <c r="H25" s="546"/>
      <c r="I25" s="549"/>
      <c r="J25" s="550"/>
      <c r="K25" s="549"/>
      <c r="L25" s="550"/>
      <c r="M25" s="549"/>
      <c r="N25" s="550"/>
      <c r="O25" s="549"/>
    </row>
    <row r="26" spans="1:26" s="87" customFormat="1" ht="35.25" customHeight="1" thickBot="1" x14ac:dyDescent="0.3">
      <c r="A26" s="543" t="s">
        <v>10</v>
      </c>
      <c r="B26" s="642" t="s">
        <v>412</v>
      </c>
      <c r="C26" s="643"/>
      <c r="D26" s="644"/>
      <c r="E26" s="545">
        <v>40519920</v>
      </c>
      <c r="F26" s="547"/>
      <c r="G26" s="547"/>
      <c r="H26" s="547"/>
      <c r="I26" s="322"/>
      <c r="J26" s="322"/>
      <c r="K26" s="322"/>
      <c r="L26" s="322"/>
      <c r="M26" s="322"/>
      <c r="N26" s="322"/>
      <c r="O26" s="322"/>
    </row>
    <row r="27" spans="1:26" s="87" customFormat="1" ht="15.75" customHeight="1" thickBot="1" x14ac:dyDescent="0.3">
      <c r="A27" s="543" t="s">
        <v>4</v>
      </c>
      <c r="B27" s="661" t="s">
        <v>88</v>
      </c>
      <c r="C27" s="661"/>
      <c r="D27" s="662"/>
      <c r="E27" s="421">
        <f>SUM(E24:E26)</f>
        <v>54201501</v>
      </c>
      <c r="F27" s="421">
        <f t="shared" ref="F27:O27" si="4">SUM(F25:F25)</f>
        <v>0</v>
      </c>
      <c r="G27" s="421">
        <f t="shared" si="4"/>
        <v>0</v>
      </c>
      <c r="H27" s="421">
        <f t="shared" si="4"/>
        <v>0</v>
      </c>
      <c r="I27" s="422">
        <f t="shared" si="4"/>
        <v>0</v>
      </c>
      <c r="J27" s="422">
        <f t="shared" si="4"/>
        <v>0</v>
      </c>
      <c r="K27" s="422">
        <f t="shared" si="4"/>
        <v>0</v>
      </c>
      <c r="L27" s="422">
        <f t="shared" si="4"/>
        <v>0</v>
      </c>
      <c r="M27" s="422">
        <f t="shared" si="4"/>
        <v>0</v>
      </c>
      <c r="N27" s="422">
        <f t="shared" si="4"/>
        <v>0</v>
      </c>
      <c r="O27" s="422">
        <f t="shared" si="4"/>
        <v>0</v>
      </c>
    </row>
    <row r="28" spans="1:26" s="87" customFormat="1" ht="33" customHeight="1" thickBot="1" x14ac:dyDescent="0.3">
      <c r="A28" s="536" t="s">
        <v>7</v>
      </c>
      <c r="B28" s="663" t="s">
        <v>366</v>
      </c>
      <c r="C28" s="663"/>
      <c r="D28" s="664"/>
      <c r="E28" s="320">
        <v>15274965</v>
      </c>
      <c r="F28" s="329"/>
      <c r="G28" s="329"/>
      <c r="H28" s="329"/>
      <c r="I28" s="321"/>
      <c r="J28" s="322"/>
      <c r="K28" s="323"/>
      <c r="L28" s="322"/>
      <c r="M28" s="323"/>
      <c r="N28" s="322"/>
      <c r="O28" s="324"/>
    </row>
    <row r="29" spans="1:26" s="87" customFormat="1" ht="15.75" customHeight="1" thickBot="1" x14ac:dyDescent="0.3">
      <c r="A29" s="418" t="s">
        <v>11</v>
      </c>
      <c r="B29" s="640" t="s">
        <v>367</v>
      </c>
      <c r="C29" s="640"/>
      <c r="D29" s="641"/>
      <c r="E29" s="325">
        <f>SUM(E27:E28)</f>
        <v>69476466</v>
      </c>
      <c r="F29" s="326">
        <f t="shared" ref="F29:O29" si="5">SUM(F27:F28)</f>
        <v>0</v>
      </c>
      <c r="G29" s="325">
        <f t="shared" si="5"/>
        <v>0</v>
      </c>
      <c r="H29" s="326">
        <f t="shared" si="5"/>
        <v>0</v>
      </c>
      <c r="I29" s="327">
        <f t="shared" si="5"/>
        <v>0</v>
      </c>
      <c r="J29" s="328">
        <f t="shared" si="5"/>
        <v>0</v>
      </c>
      <c r="K29" s="327">
        <f t="shared" si="5"/>
        <v>0</v>
      </c>
      <c r="L29" s="328">
        <f t="shared" si="5"/>
        <v>0</v>
      </c>
      <c r="M29" s="327">
        <f t="shared" si="5"/>
        <v>0</v>
      </c>
      <c r="N29" s="328">
        <f t="shared" si="5"/>
        <v>0</v>
      </c>
      <c r="O29" s="328">
        <f t="shared" si="5"/>
        <v>0</v>
      </c>
    </row>
  </sheetData>
  <mergeCells count="15">
    <mergeCell ref="B29:D29"/>
    <mergeCell ref="B24:D24"/>
    <mergeCell ref="A1:G1"/>
    <mergeCell ref="C2:D2"/>
    <mergeCell ref="E2:G2"/>
    <mergeCell ref="A3:A4"/>
    <mergeCell ref="B3:B4"/>
    <mergeCell ref="C3:F3"/>
    <mergeCell ref="G3:G4"/>
    <mergeCell ref="A21:P21"/>
    <mergeCell ref="B23:D23"/>
    <mergeCell ref="B25:D25"/>
    <mergeCell ref="B27:D27"/>
    <mergeCell ref="B28:D28"/>
    <mergeCell ref="B26:D26"/>
  </mergeCells>
  <pageMargins left="0.51181102362204722" right="0.51181102362204722" top="0.74803149606299213" bottom="0.74803149606299213" header="0.31496062992125984" footer="0.31496062992125984"/>
  <pageSetup paperSize="9" scale="47" orientation="landscape" r:id="rId1"/>
  <headerFooter>
    <oddHeader>&amp;R6. sz. melléklet
...../2020.(III.03.) Egyek Önk.</oddHead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5</vt:i4>
      </vt:variant>
    </vt:vector>
  </HeadingPairs>
  <TitlesOfParts>
    <vt:vector size="14" baseType="lpstr">
      <vt:lpstr>bevétel 1.m. </vt:lpstr>
      <vt:lpstr>Bevétel Önkormányzat 1.1 </vt:lpstr>
      <vt:lpstr>Bev.étel Önk.köt.fel. 1.1)a</vt:lpstr>
      <vt:lpstr>Támogatás 1.2</vt:lpstr>
      <vt:lpstr>2. m.Többéves kih.</vt:lpstr>
      <vt:lpstr>3.m. Mérleg </vt:lpstr>
      <vt:lpstr>4.m. Előirányzat felh.</vt:lpstr>
      <vt:lpstr>5.m.mérleg 3 éves </vt:lpstr>
      <vt:lpstr>6.m. AKÜ fiz-i köt.</vt:lpstr>
      <vt:lpstr>'Támogatás 1.2'!Nyomtatási_cím</vt:lpstr>
      <vt:lpstr>'3.m. Mérleg '!Nyomtatási_terület</vt:lpstr>
      <vt:lpstr>'5.m.mérleg 3 éves '!Nyomtatási_terület</vt:lpstr>
      <vt:lpstr>'bevétel 1.m. '!Nyomtatási_terület</vt:lpstr>
      <vt:lpstr>'Támogatás 1.2'!Nyomtatási_terület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Attila</cp:lastModifiedBy>
  <cp:lastPrinted>2020-02-14T11:59:53Z</cp:lastPrinted>
  <dcterms:created xsi:type="dcterms:W3CDTF">1999-11-19T07:39:00Z</dcterms:created>
  <dcterms:modified xsi:type="dcterms:W3CDTF">2020-02-29T15:16:41Z</dcterms:modified>
</cp:coreProperties>
</file>