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-120" windowWidth="15480" windowHeight="11160" tabRatio="598"/>
  </bookViews>
  <sheets>
    <sheet name="bevétel 1.m. " sheetId="163" r:id="rId1"/>
    <sheet name="Bevétel Önkormányzat 1.1 " sheetId="162" r:id="rId2"/>
    <sheet name="Bev.Önk.köt.ell.fel.1.1)a" sheetId="194" r:id="rId3"/>
    <sheet name="Bev. Önkorm.Önk.v.fel.1.1)b " sheetId="160" r:id="rId4"/>
    <sheet name="Bevétel Polg.Hivatal 1.2 " sheetId="159" r:id="rId5"/>
    <sheet name="Bev. Polg.Hiv. köt.fel.1.2)a" sheetId="158" r:id="rId6"/>
    <sheet name="Bevétel Könyvtár-Műv.h. 1.3" sheetId="157" r:id="rId7"/>
    <sheet name="Bev.Könyv.-Műv.h. köt.ell 1.3a " sheetId="156" r:id="rId8"/>
    <sheet name="Kiadások2" sheetId="71" r:id="rId9"/>
    <sheet name="önkormányzat kiadásai 2.1. " sheetId="165" r:id="rId10"/>
    <sheet name="önk.kiad.köt.fel.2.1)a" sheetId="195" r:id="rId11"/>
    <sheet name="önk.kiad.önk.váll.fel.2.1)b" sheetId="196" r:id="rId12"/>
    <sheet name="Polg.Hivatal kiadásai 2.2" sheetId="73" r:id="rId13"/>
    <sheet name="Polg.Hiv.kiad.köt.fel.2.2)a" sheetId="197" r:id="rId14"/>
    <sheet name="Könyvtár és Műv.H. kiadásai 2.3" sheetId="83" r:id="rId15"/>
    <sheet name="Könyvtár és Műv.H.köt.fel.2.3)a" sheetId="198" r:id="rId16"/>
    <sheet name="Működési kiadások3" sheetId="72" r:id="rId17"/>
    <sheet name="Felhalmozás 4.mell. " sheetId="208" r:id="rId18"/>
    <sheet name="Mérleg 5.mell." sheetId="205" r:id="rId19"/>
    <sheet name="Működési és felh. mérl.6" sheetId="154" r:id="rId20"/>
    <sheet name="Maradvány Önk_7_1_m_" sheetId="132" r:id="rId21"/>
    <sheet name="Maradvány Polg_Hiv_7_2_m_ " sheetId="133" r:id="rId22"/>
    <sheet name="Maradvány Tárkányi B_ 7_3_m" sheetId="134" r:id="rId23"/>
    <sheet name="Támogatás elsz.8.m." sheetId="204" r:id="rId24"/>
    <sheet name="Többéves kih. 9. m." sheetId="207" r:id="rId25"/>
    <sheet name="Vagyonkim. Önkorm. 10.m. " sheetId="202" r:id="rId26"/>
    <sheet name="Adósságállomány Önk. 11.1.m." sheetId="150" r:id="rId27"/>
    <sheet name="Adósságállomány Polg.H 11.2.m. " sheetId="151" r:id="rId28"/>
    <sheet name="Adósságállomány Tárk. B.11.3.m." sheetId="152" r:id="rId29"/>
    <sheet name="Közvetett tám.12.m." sheetId="199" r:id="rId30"/>
    <sheet name="Pénzeszk_vál_ Önk_ 13._1_m_ " sheetId="145" r:id="rId31"/>
    <sheet name="Pénzeszk_vál_ Polg_ Hiv_13_2_m " sheetId="146" r:id="rId32"/>
    <sheet name="Pénzeszk_vál_ Tárkányi B_13_3_m" sheetId="147" r:id="rId33"/>
    <sheet name="részesedések 14.m.  " sheetId="189" r:id="rId34"/>
    <sheet name="Adósságot kel.15.mell." sheetId="203" r:id="rId35"/>
  </sheets>
  <definedNames>
    <definedName name="_xlnm._FilterDatabase" localSheetId="10" hidden="1">'önk.kiad.köt.fel.2.1)a'!$A$4:$K$372</definedName>
    <definedName name="_xlnm._FilterDatabase" localSheetId="11" hidden="1">'önk.kiad.önk.váll.fel.2.1)b'!$A$4:$K$4</definedName>
    <definedName name="_xlnm._FilterDatabase" localSheetId="9" hidden="1">'önkormányzat kiadásai 2.1. '!$A$4:$K$450</definedName>
    <definedName name="Excel_BuiltIn_Print_Area_6_1" localSheetId="34">#REF!</definedName>
    <definedName name="Excel_BuiltIn_Print_Area_6_1" localSheetId="3">#REF!</definedName>
    <definedName name="Excel_BuiltIn_Print_Area_6_1" localSheetId="5">#REF!</definedName>
    <definedName name="Excel_BuiltIn_Print_Area_6_1" localSheetId="7">#REF!</definedName>
    <definedName name="Excel_BuiltIn_Print_Area_6_1" localSheetId="2">#REF!</definedName>
    <definedName name="Excel_BuiltIn_Print_Area_6_1" localSheetId="0">#REF!</definedName>
    <definedName name="Excel_BuiltIn_Print_Area_6_1" localSheetId="6">#REF!</definedName>
    <definedName name="Excel_BuiltIn_Print_Area_6_1" localSheetId="1">#REF!</definedName>
    <definedName name="Excel_BuiltIn_Print_Area_6_1" localSheetId="4">#REF!</definedName>
    <definedName name="Excel_BuiltIn_Print_Area_6_1" localSheetId="15">#REF!</definedName>
    <definedName name="Excel_BuiltIn_Print_Area_6_1" localSheetId="29">#REF!</definedName>
    <definedName name="Excel_BuiltIn_Print_Area_6_1" localSheetId="20">#REF!</definedName>
    <definedName name="Excel_BuiltIn_Print_Area_6_1" localSheetId="21">#REF!</definedName>
    <definedName name="Excel_BuiltIn_Print_Area_6_1" localSheetId="22">#REF!</definedName>
    <definedName name="Excel_BuiltIn_Print_Area_6_1" localSheetId="18">#REF!</definedName>
    <definedName name="Excel_BuiltIn_Print_Area_6_1" localSheetId="19">#REF!</definedName>
    <definedName name="Excel_BuiltIn_Print_Area_6_1" localSheetId="10">#REF!</definedName>
    <definedName name="Excel_BuiltIn_Print_Area_6_1" localSheetId="11">#REF!</definedName>
    <definedName name="Excel_BuiltIn_Print_Area_6_1" localSheetId="30">#REF!</definedName>
    <definedName name="Excel_BuiltIn_Print_Area_6_1" localSheetId="31">#REF!</definedName>
    <definedName name="Excel_BuiltIn_Print_Area_6_1" localSheetId="32">#REF!</definedName>
    <definedName name="Excel_BuiltIn_Print_Area_6_1" localSheetId="13">#REF!</definedName>
    <definedName name="Excel_BuiltIn_Print_Area_6_1" localSheetId="33">#REF!</definedName>
    <definedName name="Excel_BuiltIn_Print_Area_6_1" localSheetId="23">#REF!</definedName>
    <definedName name="Excel_BuiltIn_Print_Area_6_1" localSheetId="25">#REF!</definedName>
    <definedName name="Excel_BuiltIn_Print_Area_6_1">#REF!</definedName>
    <definedName name="_xlnm.Print_Area" localSheetId="3">'Bev. Önkorm.Önk.v.fel.1.1)b '!$A$1:$G$32</definedName>
    <definedName name="_xlnm.Print_Area" localSheetId="5">'Bev. Polg.Hiv. köt.fel.1.2)a'!$A$1:$G$52</definedName>
    <definedName name="_xlnm.Print_Area" localSheetId="2">'Bev.Önk.köt.ell.fel.1.1)a'!$A$1:$G$289</definedName>
    <definedName name="_xlnm.Print_Area" localSheetId="0">'bevétel 1.m. '!$A$1:$Q$46</definedName>
    <definedName name="_xlnm.Print_Area" localSheetId="1">'Bevétel Önkormányzat 1.1 '!$A$1:$G$307</definedName>
    <definedName name="_xlnm.Print_Area" localSheetId="4">'Bevétel Polg.Hivatal 1.2 '!$A$1:$G$42</definedName>
    <definedName name="_xlnm.Print_Area" localSheetId="8">Kiadások2!$A$1:$Q$27</definedName>
    <definedName name="_xlnm.Print_Area" localSheetId="29">'Közvetett tám.12.m.'!$A$1:$E$37</definedName>
    <definedName name="_xlnm.Print_Area" localSheetId="20">'Maradvány Önk_7_1_m_'!$A$1:$D$30</definedName>
    <definedName name="_xlnm.Print_Area" localSheetId="21">'Maradvány Polg_Hiv_7_2_m_ '!$A$1:$D$28</definedName>
    <definedName name="_xlnm.Print_Area" localSheetId="22">'Maradvány Tárkányi B_ 7_3_m'!$A$1:$D$30</definedName>
    <definedName name="_xlnm.Print_Area" localSheetId="18">'Mérleg 5.mell.'!$A$1:$G$64</definedName>
    <definedName name="_xlnm.Print_Area" localSheetId="16">'Működési kiadások3'!$A$1:$Q$40</definedName>
    <definedName name="_xlnm.Print_Area" localSheetId="10">'önk.kiad.köt.fel.2.1)a'!$A$1:$F$427</definedName>
    <definedName name="_xlnm.Print_Area" localSheetId="11">'önk.kiad.önk.váll.fel.2.1)b'!$A$1:$F$38</definedName>
    <definedName name="_xlnm.Print_Area" localSheetId="9">'önkormányzat kiadásai 2.1. '!$A$1:$F$451</definedName>
    <definedName name="_xlnm.Print_Area" localSheetId="13">'Polg.Hiv.kiad.köt.fel.2.2)a'!$A$1:$F$52</definedName>
    <definedName name="_xlnm.Print_Area" localSheetId="12">'Polg.Hivatal kiadásai 2.2'!$A$1:$F$52</definedName>
    <definedName name="_xlnm.Print_Area" localSheetId="23">'Támogatás elsz.8.m.'!$A$1:$G$53</definedName>
    <definedName name="_xlnm.Print_Area" localSheetId="25">'Vagyonkim. Önkorm. 10.m. '!$A$1:$I$123</definedName>
  </definedNames>
  <calcPr calcId="145621"/>
</workbook>
</file>

<file path=xl/calcChain.xml><?xml version="1.0" encoding="utf-8"?>
<calcChain xmlns="http://schemas.openxmlformats.org/spreadsheetml/2006/main">
  <c r="P42" i="163" l="1"/>
  <c r="G58" i="208" l="1"/>
  <c r="E58" i="208"/>
  <c r="D51" i="208"/>
  <c r="D49" i="208"/>
  <c r="D48" i="208"/>
  <c r="D47" i="208"/>
  <c r="D46" i="208"/>
  <c r="D45" i="208"/>
  <c r="D44" i="208"/>
  <c r="D42" i="208"/>
  <c r="D41" i="208"/>
  <c r="D36" i="208"/>
  <c r="D35" i="208"/>
  <c r="D30" i="208"/>
  <c r="D28" i="208"/>
  <c r="D58" i="208" s="1"/>
  <c r="G16" i="208"/>
  <c r="E16" i="208"/>
  <c r="D16" i="208"/>
  <c r="J8" i="154" l="1"/>
  <c r="I25" i="154"/>
  <c r="I28" i="154" s="1"/>
  <c r="I16" i="154"/>
  <c r="I10" i="154"/>
  <c r="H16" i="154"/>
  <c r="H25" i="154"/>
  <c r="I30" i="154" l="1"/>
  <c r="H28" i="154"/>
  <c r="G28" i="154"/>
  <c r="G25" i="154"/>
  <c r="G16" i="154"/>
  <c r="C24" i="154"/>
  <c r="D24" i="154"/>
  <c r="C14" i="154"/>
  <c r="D14" i="154"/>
  <c r="C23" i="154"/>
  <c r="D23" i="154"/>
  <c r="B23" i="154"/>
  <c r="C22" i="154"/>
  <c r="D22" i="154"/>
  <c r="B22" i="154"/>
  <c r="B21" i="154"/>
  <c r="C21" i="154"/>
  <c r="D21" i="154"/>
  <c r="C20" i="154"/>
  <c r="D20" i="154"/>
  <c r="B20" i="154"/>
  <c r="B28" i="154" s="1"/>
  <c r="C15" i="154"/>
  <c r="D15" i="154"/>
  <c r="B15" i="154"/>
  <c r="D13" i="154"/>
  <c r="C12" i="154"/>
  <c r="D12" i="154"/>
  <c r="B12" i="154"/>
  <c r="C11" i="154"/>
  <c r="D11" i="154"/>
  <c r="B11" i="154"/>
  <c r="C10" i="154"/>
  <c r="D10" i="154"/>
  <c r="B10" i="154"/>
  <c r="C9" i="154"/>
  <c r="C16" i="154" s="1"/>
  <c r="D9" i="154"/>
  <c r="B9" i="154"/>
  <c r="B16" i="154" s="1"/>
  <c r="I33" i="207"/>
  <c r="I34" i="207"/>
  <c r="I35" i="207"/>
  <c r="I36" i="207"/>
  <c r="I37" i="207"/>
  <c r="I38" i="207"/>
  <c r="I39" i="207"/>
  <c r="I40" i="207"/>
  <c r="I41" i="207"/>
  <c r="I42" i="207"/>
  <c r="I43" i="207"/>
  <c r="I44" i="207"/>
  <c r="I45" i="207"/>
  <c r="I46" i="207"/>
  <c r="I47" i="207"/>
  <c r="I48" i="207"/>
  <c r="I49" i="207"/>
  <c r="I50" i="207"/>
  <c r="I51" i="207"/>
  <c r="I32" i="207"/>
  <c r="I17" i="207"/>
  <c r="I8" i="207"/>
  <c r="I16" i="207"/>
  <c r="F19" i="207"/>
  <c r="F31" i="207"/>
  <c r="G7" i="207"/>
  <c r="G19" i="207"/>
  <c r="G31" i="207"/>
  <c r="E7" i="207"/>
  <c r="E19" i="207"/>
  <c r="E31" i="207"/>
  <c r="H31" i="207"/>
  <c r="D31" i="207"/>
  <c r="I30" i="207"/>
  <c r="I29" i="207"/>
  <c r="I28" i="207"/>
  <c r="I27" i="207"/>
  <c r="I26" i="207"/>
  <c r="I25" i="207"/>
  <c r="I24" i="207"/>
  <c r="I23" i="207"/>
  <c r="I22" i="207"/>
  <c r="I21" i="207"/>
  <c r="I20" i="207"/>
  <c r="H19" i="207"/>
  <c r="D19" i="207"/>
  <c r="D18" i="207"/>
  <c r="I18" i="207" s="1"/>
  <c r="D15" i="207"/>
  <c r="D14" i="207"/>
  <c r="D13" i="207"/>
  <c r="I13" i="207" s="1"/>
  <c r="D12" i="207"/>
  <c r="I12" i="207" s="1"/>
  <c r="D11" i="207"/>
  <c r="I11" i="207" s="1"/>
  <c r="D10" i="207"/>
  <c r="D9" i="207"/>
  <c r="D8" i="207"/>
  <c r="H7" i="207"/>
  <c r="D7" i="207"/>
  <c r="G52" i="207" l="1"/>
  <c r="E52" i="207"/>
  <c r="H52" i="207"/>
  <c r="I10" i="207"/>
  <c r="I19" i="207"/>
  <c r="I15" i="207"/>
  <c r="I14" i="207"/>
  <c r="I31" i="207"/>
  <c r="I9" i="207"/>
  <c r="D52" i="207"/>
  <c r="F7" i="207"/>
  <c r="F52" i="207" s="1"/>
  <c r="I7" i="207" l="1"/>
  <c r="I52" i="207" s="1"/>
  <c r="E60" i="205" l="1"/>
  <c r="D60" i="205"/>
  <c r="E57" i="205"/>
  <c r="F57" i="205"/>
  <c r="D57" i="205"/>
  <c r="D56" i="205"/>
  <c r="E56" i="205"/>
  <c r="F56" i="205"/>
  <c r="E55" i="205"/>
  <c r="F55" i="205"/>
  <c r="D55" i="205"/>
  <c r="E54" i="205"/>
  <c r="F54" i="205"/>
  <c r="D54" i="205"/>
  <c r="E53" i="205"/>
  <c r="F53" i="205"/>
  <c r="D53" i="205"/>
  <c r="D51" i="205"/>
  <c r="E51" i="205"/>
  <c r="F51" i="205"/>
  <c r="D50" i="205"/>
  <c r="E50" i="205"/>
  <c r="F50" i="205"/>
  <c r="D49" i="205"/>
  <c r="E49" i="205"/>
  <c r="F49" i="205"/>
  <c r="E48" i="205"/>
  <c r="F48" i="205"/>
  <c r="D48" i="205"/>
  <c r="E47" i="205"/>
  <c r="F47" i="205"/>
  <c r="D47" i="205"/>
  <c r="F46" i="205"/>
  <c r="E46" i="205"/>
  <c r="D46" i="205"/>
  <c r="O21" i="163"/>
  <c r="O22" i="163"/>
  <c r="O23" i="163"/>
  <c r="O24" i="163"/>
  <c r="O25" i="163"/>
  <c r="O26" i="163"/>
  <c r="O27" i="163"/>
  <c r="O28" i="163"/>
  <c r="O29" i="163"/>
  <c r="O30" i="163"/>
  <c r="O31" i="163"/>
  <c r="O32" i="163"/>
  <c r="O33" i="163"/>
  <c r="O34" i="163"/>
  <c r="O20" i="163"/>
  <c r="O17" i="163"/>
  <c r="O18" i="163"/>
  <c r="O19" i="163"/>
  <c r="O16" i="163"/>
  <c r="O9" i="163"/>
  <c r="O10" i="163"/>
  <c r="O11" i="163"/>
  <c r="O12" i="163"/>
  <c r="O13" i="163"/>
  <c r="O14" i="163"/>
  <c r="O15" i="163"/>
  <c r="O8" i="163"/>
  <c r="E34" i="205"/>
  <c r="D20" i="205" l="1"/>
  <c r="E20" i="205"/>
  <c r="F20" i="205"/>
  <c r="C58" i="205"/>
  <c r="C45" i="205"/>
  <c r="C61" i="205" s="1"/>
  <c r="C62" i="205" s="1"/>
  <c r="C52" i="205"/>
  <c r="C63" i="205"/>
  <c r="C31" i="205"/>
  <c r="C23" i="205"/>
  <c r="C20" i="205" s="1"/>
  <c r="C9" i="205"/>
  <c r="C8" i="205" s="1"/>
  <c r="G60" i="205"/>
  <c r="G59" i="205"/>
  <c r="D58" i="205"/>
  <c r="F58" i="205"/>
  <c r="E58" i="205"/>
  <c r="G57" i="205"/>
  <c r="G56" i="205"/>
  <c r="G55" i="205"/>
  <c r="D52" i="205"/>
  <c r="F52" i="205"/>
  <c r="E52" i="205"/>
  <c r="G51" i="205"/>
  <c r="G50" i="205"/>
  <c r="G49" i="205"/>
  <c r="G48" i="205"/>
  <c r="G47" i="205"/>
  <c r="G46" i="205"/>
  <c r="F45" i="205"/>
  <c r="E45" i="205"/>
  <c r="D45" i="205"/>
  <c r="G38" i="205"/>
  <c r="G37" i="205"/>
  <c r="G36" i="205"/>
  <c r="F35" i="205"/>
  <c r="E35" i="205"/>
  <c r="E63" i="205" s="1"/>
  <c r="D35" i="205"/>
  <c r="C35" i="205"/>
  <c r="G30" i="205"/>
  <c r="G29" i="205"/>
  <c r="G28" i="205"/>
  <c r="G27" i="205"/>
  <c r="G25" i="205"/>
  <c r="G24" i="205"/>
  <c r="G23" i="205"/>
  <c r="G22" i="205"/>
  <c r="G19" i="205"/>
  <c r="G18" i="205"/>
  <c r="F17" i="205"/>
  <c r="E17" i="205"/>
  <c r="D17" i="205"/>
  <c r="C17" i="205"/>
  <c r="G16" i="205"/>
  <c r="G13" i="205"/>
  <c r="G12" i="205"/>
  <c r="G11" i="205"/>
  <c r="G10" i="205"/>
  <c r="F9" i="205"/>
  <c r="F8" i="205" s="1"/>
  <c r="E9" i="205"/>
  <c r="E8" i="205" s="1"/>
  <c r="D9" i="205"/>
  <c r="D8" i="205" s="1"/>
  <c r="E42" i="204"/>
  <c r="E32" i="204"/>
  <c r="E33" i="204"/>
  <c r="E31" i="204"/>
  <c r="D22" i="204"/>
  <c r="E22" i="204"/>
  <c r="F22" i="204"/>
  <c r="C22" i="204"/>
  <c r="F18" i="204"/>
  <c r="C19" i="204"/>
  <c r="F16" i="204"/>
  <c r="F43" i="204"/>
  <c r="D43" i="204"/>
  <c r="C43" i="204"/>
  <c r="G42" i="204"/>
  <c r="E41" i="204"/>
  <c r="G41" i="204" s="1"/>
  <c r="E40" i="204"/>
  <c r="G40" i="204" s="1"/>
  <c r="E39" i="204"/>
  <c r="G39" i="204" s="1"/>
  <c r="D33" i="204"/>
  <c r="C33" i="204"/>
  <c r="F21" i="204"/>
  <c r="E19" i="204"/>
  <c r="D19" i="204"/>
  <c r="F17" i="204"/>
  <c r="F15" i="204"/>
  <c r="F14" i="204"/>
  <c r="F13" i="204"/>
  <c r="F12" i="204"/>
  <c r="F11" i="204"/>
  <c r="F10" i="204"/>
  <c r="F9" i="204"/>
  <c r="G58" i="205" l="1"/>
  <c r="D61" i="205"/>
  <c r="D62" i="205" s="1"/>
  <c r="D66" i="205" s="1"/>
  <c r="G45" i="205"/>
  <c r="G17" i="205"/>
  <c r="G35" i="205"/>
  <c r="D34" i="205"/>
  <c r="D63" i="205" s="1"/>
  <c r="G9" i="205"/>
  <c r="E61" i="205"/>
  <c r="C34" i="205"/>
  <c r="F34" i="205"/>
  <c r="F61" i="205"/>
  <c r="G20" i="205"/>
  <c r="G8" i="205"/>
  <c r="G43" i="204"/>
  <c r="F19" i="204"/>
  <c r="E43" i="204"/>
  <c r="E62" i="205" l="1"/>
  <c r="G34" i="205"/>
  <c r="F63" i="205"/>
  <c r="G63" i="205" s="1"/>
  <c r="F62" i="205"/>
  <c r="G61" i="205"/>
  <c r="G62" i="205" l="1"/>
  <c r="J26" i="203"/>
  <c r="J23" i="203"/>
  <c r="H32" i="203"/>
  <c r="I32" i="203" l="1"/>
  <c r="J5" i="203" l="1"/>
  <c r="F32" i="203"/>
  <c r="J30" i="203"/>
  <c r="J28" i="203"/>
  <c r="J21" i="203"/>
  <c r="J16" i="203"/>
  <c r="J12" i="203"/>
  <c r="J9" i="203"/>
  <c r="J8" i="203"/>
  <c r="J7" i="203"/>
  <c r="J32" i="203" l="1"/>
  <c r="F8" i="189" l="1"/>
  <c r="F9" i="189"/>
  <c r="F10" i="189"/>
  <c r="F11" i="189"/>
  <c r="G19" i="147"/>
  <c r="G17" i="147"/>
  <c r="G18" i="145"/>
  <c r="G14" i="145"/>
  <c r="D17" i="150"/>
  <c r="H18" i="150"/>
  <c r="H17" i="150"/>
  <c r="D18" i="150"/>
  <c r="E17" i="150"/>
  <c r="D19" i="152"/>
  <c r="D15" i="72"/>
  <c r="C15" i="72"/>
  <c r="O24" i="72" l="1"/>
  <c r="E32" i="72"/>
  <c r="O32" i="72"/>
  <c r="O29" i="72"/>
  <c r="B15" i="72" l="1"/>
  <c r="C39" i="72"/>
  <c r="D39" i="72"/>
  <c r="B39" i="72"/>
  <c r="D36" i="72"/>
  <c r="J14" i="72"/>
  <c r="K14" i="72"/>
  <c r="L14" i="72"/>
  <c r="F14" i="72"/>
  <c r="G14" i="72"/>
  <c r="H14" i="72"/>
  <c r="J12" i="72"/>
  <c r="K12" i="72"/>
  <c r="L12" i="72"/>
  <c r="F12" i="72"/>
  <c r="G12" i="72"/>
  <c r="H12" i="72"/>
  <c r="I13" i="72"/>
  <c r="J13" i="72"/>
  <c r="K13" i="72"/>
  <c r="L13" i="72"/>
  <c r="G13" i="72"/>
  <c r="H13" i="72"/>
  <c r="F13" i="72"/>
  <c r="F93" i="202"/>
  <c r="E93" i="202"/>
  <c r="F86" i="202"/>
  <c r="F122" i="202" s="1"/>
  <c r="E86" i="202"/>
  <c r="E122" i="202" s="1"/>
  <c r="H70" i="202"/>
  <c r="G70" i="202"/>
  <c r="H65" i="202"/>
  <c r="G65" i="202"/>
  <c r="H56" i="202"/>
  <c r="G56" i="202"/>
  <c r="H51" i="202"/>
  <c r="G51" i="202"/>
  <c r="H46" i="202"/>
  <c r="G46" i="202"/>
  <c r="G45" i="202" s="1"/>
  <c r="H45" i="202"/>
  <c r="H40" i="202"/>
  <c r="G40" i="202"/>
  <c r="H35" i="202"/>
  <c r="G35" i="202"/>
  <c r="H30" i="202"/>
  <c r="G30" i="202"/>
  <c r="H25" i="202"/>
  <c r="G25" i="202"/>
  <c r="H20" i="202"/>
  <c r="G20" i="202"/>
  <c r="G19" i="202" s="1"/>
  <c r="H19" i="202"/>
  <c r="H62" i="202" s="1"/>
  <c r="H71" i="202" s="1"/>
  <c r="G62" i="202" l="1"/>
  <c r="G71" i="202" s="1"/>
  <c r="D280" i="194" l="1"/>
  <c r="E280" i="194"/>
  <c r="D281" i="194"/>
  <c r="E281" i="194"/>
  <c r="D282" i="194"/>
  <c r="E282" i="194"/>
  <c r="D283" i="194"/>
  <c r="E283" i="194"/>
  <c r="D284" i="194"/>
  <c r="E284" i="194"/>
  <c r="D285" i="194"/>
  <c r="D286" i="194"/>
  <c r="E286" i="194"/>
  <c r="D287" i="194"/>
  <c r="E287" i="194"/>
  <c r="C281" i="194"/>
  <c r="C282" i="194"/>
  <c r="C283" i="194"/>
  <c r="C284" i="194"/>
  <c r="C285" i="194"/>
  <c r="C286" i="194"/>
  <c r="C287" i="194"/>
  <c r="C280" i="194"/>
  <c r="F285" i="194"/>
  <c r="E279" i="194"/>
  <c r="D279" i="194"/>
  <c r="C279" i="194"/>
  <c r="F278" i="194"/>
  <c r="E270" i="194"/>
  <c r="D270" i="194"/>
  <c r="C270" i="194"/>
  <c r="F264" i="194"/>
  <c r="E261" i="194"/>
  <c r="F261" i="194" s="1"/>
  <c r="D261" i="194"/>
  <c r="C261" i="194"/>
  <c r="F253" i="194"/>
  <c r="E252" i="194"/>
  <c r="D252" i="194"/>
  <c r="C252" i="194"/>
  <c r="F245" i="194"/>
  <c r="F244" i="194"/>
  <c r="E243" i="194"/>
  <c r="D243" i="194"/>
  <c r="C243" i="194"/>
  <c r="F240" i="194"/>
  <c r="E233" i="194"/>
  <c r="D233" i="194"/>
  <c r="C233" i="194"/>
  <c r="E224" i="194"/>
  <c r="D224" i="194"/>
  <c r="C224" i="194"/>
  <c r="E215" i="194"/>
  <c r="D215" i="194"/>
  <c r="C215" i="194"/>
  <c r="F207" i="194"/>
  <c r="E206" i="194"/>
  <c r="D206" i="194"/>
  <c r="C206" i="194"/>
  <c r="F198" i="194"/>
  <c r="E197" i="194"/>
  <c r="D197" i="194"/>
  <c r="C197" i="194"/>
  <c r="E187" i="194"/>
  <c r="D187" i="194"/>
  <c r="C187" i="194"/>
  <c r="E178" i="194"/>
  <c r="D178" i="194"/>
  <c r="C178" i="194"/>
  <c r="E169" i="194"/>
  <c r="D169" i="194"/>
  <c r="C169" i="194"/>
  <c r="F161" i="194"/>
  <c r="E160" i="194"/>
  <c r="D160" i="194"/>
  <c r="C160" i="194"/>
  <c r="E151" i="194"/>
  <c r="D151" i="194"/>
  <c r="C151" i="194"/>
  <c r="F146" i="194"/>
  <c r="E141" i="194"/>
  <c r="D141" i="194"/>
  <c r="C141" i="194"/>
  <c r="F136" i="194"/>
  <c r="F133" i="194"/>
  <c r="E132" i="194"/>
  <c r="D132" i="194"/>
  <c r="C132" i="194"/>
  <c r="F124" i="194"/>
  <c r="E123" i="194"/>
  <c r="F123" i="194" s="1"/>
  <c r="D123" i="194"/>
  <c r="C123" i="194"/>
  <c r="F118" i="194"/>
  <c r="F116" i="194"/>
  <c r="D114" i="194"/>
  <c r="C114" i="194"/>
  <c r="E105" i="194"/>
  <c r="D105" i="194"/>
  <c r="C105" i="194"/>
  <c r="F98" i="194"/>
  <c r="E95" i="194"/>
  <c r="D95" i="194"/>
  <c r="C95" i="194"/>
  <c r="F88" i="194"/>
  <c r="E86" i="194"/>
  <c r="D86" i="194"/>
  <c r="C86" i="194"/>
  <c r="F81" i="194"/>
  <c r="E77" i="194"/>
  <c r="D77" i="194"/>
  <c r="C77" i="194"/>
  <c r="F72" i="194"/>
  <c r="F70" i="194"/>
  <c r="F69" i="194"/>
  <c r="E68" i="194"/>
  <c r="D68" i="194"/>
  <c r="C68" i="194"/>
  <c r="F60" i="194"/>
  <c r="E59" i="194"/>
  <c r="D59" i="194"/>
  <c r="C59" i="194"/>
  <c r="E49" i="194"/>
  <c r="D49" i="194"/>
  <c r="C49" i="194"/>
  <c r="E40" i="194"/>
  <c r="D40" i="194"/>
  <c r="C40" i="194"/>
  <c r="F39" i="194"/>
  <c r="F33" i="194"/>
  <c r="F32" i="194"/>
  <c r="E31" i="194"/>
  <c r="D31" i="194"/>
  <c r="C31" i="194"/>
  <c r="F27" i="194"/>
  <c r="F26" i="194"/>
  <c r="F24" i="194"/>
  <c r="F23" i="194"/>
  <c r="E22" i="194"/>
  <c r="D22" i="194"/>
  <c r="C22" i="194"/>
  <c r="F17" i="194"/>
  <c r="E13" i="194"/>
  <c r="D13" i="194"/>
  <c r="C13" i="194"/>
  <c r="F10" i="194"/>
  <c r="F9" i="194"/>
  <c r="F8" i="194"/>
  <c r="D288" i="194" l="1"/>
  <c r="F288" i="194" s="1"/>
  <c r="E288" i="194"/>
  <c r="C288" i="194"/>
  <c r="F206" i="194"/>
  <c r="F95" i="194"/>
  <c r="F13" i="194"/>
  <c r="F86" i="194"/>
  <c r="F215" i="194"/>
  <c r="F31" i="194"/>
  <c r="F68" i="194"/>
  <c r="F132" i="194"/>
  <c r="F141" i="194"/>
  <c r="F151" i="194"/>
  <c r="F169" i="194"/>
  <c r="F284" i="194"/>
  <c r="F40" i="194"/>
  <c r="F77" i="194"/>
  <c r="F243" i="194"/>
  <c r="F252" i="194"/>
  <c r="F281" i="194"/>
  <c r="F22" i="194"/>
  <c r="F59" i="194"/>
  <c r="F270" i="194"/>
  <c r="F279" i="194"/>
  <c r="F283" i="194"/>
  <c r="F287" i="194"/>
  <c r="F280" i="194"/>
  <c r="N12" i="72"/>
  <c r="E61" i="198" l="1"/>
  <c r="D61" i="198"/>
  <c r="C61" i="198"/>
  <c r="E60" i="198"/>
  <c r="D60" i="198"/>
  <c r="C60" i="198"/>
  <c r="E59" i="198"/>
  <c r="D59" i="198"/>
  <c r="C59" i="198"/>
  <c r="E58" i="198"/>
  <c r="F58" i="198" s="1"/>
  <c r="D58" i="198"/>
  <c r="C58" i="198"/>
  <c r="E57" i="198"/>
  <c r="D57" i="198"/>
  <c r="C57" i="198"/>
  <c r="E56" i="198"/>
  <c r="F56" i="198" s="1"/>
  <c r="D56" i="198"/>
  <c r="C56" i="198"/>
  <c r="E55" i="198"/>
  <c r="D55" i="198"/>
  <c r="C55" i="198"/>
  <c r="E54" i="198"/>
  <c r="F54" i="198" s="1"/>
  <c r="D54" i="198"/>
  <c r="C54" i="198"/>
  <c r="E53" i="198"/>
  <c r="F53" i="198" s="1"/>
  <c r="D53" i="198"/>
  <c r="C53" i="198"/>
  <c r="E52" i="198"/>
  <c r="F52" i="198" s="1"/>
  <c r="D52" i="198"/>
  <c r="C52" i="198"/>
  <c r="E51" i="198"/>
  <c r="E62" i="198" s="1"/>
  <c r="D51" i="198"/>
  <c r="D62" i="198" s="1"/>
  <c r="C51" i="198"/>
  <c r="C62" i="198" s="1"/>
  <c r="F43" i="198"/>
  <c r="F42" i="198"/>
  <c r="F41" i="198"/>
  <c r="E40" i="198"/>
  <c r="F40" i="198" s="1"/>
  <c r="D40" i="198"/>
  <c r="C40" i="198"/>
  <c r="F34" i="198"/>
  <c r="F32" i="198"/>
  <c r="E29" i="198"/>
  <c r="F29" i="198" s="1"/>
  <c r="D29" i="198"/>
  <c r="C29" i="198"/>
  <c r="F25" i="198"/>
  <c r="F23" i="198"/>
  <c r="F21" i="198"/>
  <c r="F20" i="198"/>
  <c r="F19" i="198"/>
  <c r="E18" i="198"/>
  <c r="F18" i="198" s="1"/>
  <c r="D18" i="198"/>
  <c r="C18" i="198"/>
  <c r="F10" i="198"/>
  <c r="F34" i="83"/>
  <c r="E47" i="197"/>
  <c r="D47" i="197"/>
  <c r="C47" i="197"/>
  <c r="E46" i="197"/>
  <c r="D46" i="197"/>
  <c r="C46" i="197"/>
  <c r="E45" i="197"/>
  <c r="D45" i="197"/>
  <c r="C45" i="197"/>
  <c r="E44" i="197"/>
  <c r="F44" i="197" s="1"/>
  <c r="D44" i="197"/>
  <c r="C44" i="197"/>
  <c r="E43" i="197"/>
  <c r="D43" i="197"/>
  <c r="C43" i="197"/>
  <c r="E42" i="197"/>
  <c r="F42" i="197" s="1"/>
  <c r="D42" i="197"/>
  <c r="C42" i="197"/>
  <c r="E41" i="197"/>
  <c r="D41" i="197"/>
  <c r="C41" i="197"/>
  <c r="E40" i="197"/>
  <c r="F40" i="197" s="1"/>
  <c r="D40" i="197"/>
  <c r="C40" i="197"/>
  <c r="E39" i="197"/>
  <c r="F39" i="197" s="1"/>
  <c r="D39" i="197"/>
  <c r="C39" i="197"/>
  <c r="E38" i="197"/>
  <c r="E48" i="197" s="1"/>
  <c r="D38" i="197"/>
  <c r="D48" i="197" s="1"/>
  <c r="C38" i="197"/>
  <c r="C48" i="197" s="1"/>
  <c r="E37" i="197"/>
  <c r="D37" i="197"/>
  <c r="C37" i="197"/>
  <c r="E26" i="197"/>
  <c r="F26" i="197" s="1"/>
  <c r="D26" i="197"/>
  <c r="C26" i="197"/>
  <c r="F17" i="197"/>
  <c r="F16" i="197"/>
  <c r="E15" i="197"/>
  <c r="D15" i="197"/>
  <c r="F15" i="197" s="1"/>
  <c r="C15" i="197"/>
  <c r="F11" i="197"/>
  <c r="F9" i="197"/>
  <c r="F7" i="197"/>
  <c r="F6" i="197"/>
  <c r="F5" i="197"/>
  <c r="C37" i="73"/>
  <c r="D27" i="196"/>
  <c r="E27" i="196"/>
  <c r="D28" i="196"/>
  <c r="E28" i="196"/>
  <c r="D29" i="196"/>
  <c r="E29" i="196"/>
  <c r="D30" i="196"/>
  <c r="E30" i="196"/>
  <c r="D31" i="196"/>
  <c r="E31" i="196"/>
  <c r="D32" i="196"/>
  <c r="E32" i="196"/>
  <c r="D33" i="196"/>
  <c r="E33" i="196"/>
  <c r="D34" i="196"/>
  <c r="E34" i="196"/>
  <c r="D35" i="196"/>
  <c r="E35" i="196"/>
  <c r="D36" i="196"/>
  <c r="E36" i="196"/>
  <c r="C28" i="196"/>
  <c r="C29" i="196"/>
  <c r="C30" i="196"/>
  <c r="C31" i="196"/>
  <c r="C32" i="196"/>
  <c r="C33" i="196"/>
  <c r="C34" i="196"/>
  <c r="C35" i="196"/>
  <c r="C36" i="196"/>
  <c r="C27" i="196"/>
  <c r="D417" i="195"/>
  <c r="E417" i="195"/>
  <c r="D418" i="195"/>
  <c r="E418" i="195"/>
  <c r="D419" i="195"/>
  <c r="E419" i="195"/>
  <c r="D420" i="195"/>
  <c r="E420" i="195"/>
  <c r="E421" i="195"/>
  <c r="D422" i="195"/>
  <c r="E422" i="195"/>
  <c r="D423" i="195"/>
  <c r="E423" i="195"/>
  <c r="D424" i="195"/>
  <c r="E424" i="195"/>
  <c r="D425" i="195"/>
  <c r="E425" i="195"/>
  <c r="D426" i="195"/>
  <c r="E426" i="195"/>
  <c r="C418" i="195"/>
  <c r="C419" i="195"/>
  <c r="C420" i="195"/>
  <c r="C422" i="195"/>
  <c r="C423" i="195"/>
  <c r="C424" i="195"/>
  <c r="C425" i="195"/>
  <c r="C426" i="195"/>
  <c r="C417" i="195"/>
  <c r="F28" i="196"/>
  <c r="E37" i="196"/>
  <c r="E26" i="196"/>
  <c r="D26" i="196"/>
  <c r="C26" i="196"/>
  <c r="F22" i="196"/>
  <c r="F18" i="196"/>
  <c r="F17" i="196"/>
  <c r="F16" i="196"/>
  <c r="E15" i="196"/>
  <c r="D15" i="196"/>
  <c r="C15" i="196"/>
  <c r="F9" i="196"/>
  <c r="F7" i="196"/>
  <c r="F426" i="195"/>
  <c r="E427" i="195"/>
  <c r="E416" i="195"/>
  <c r="D416" i="195"/>
  <c r="C416" i="195"/>
  <c r="F415" i="195"/>
  <c r="F408" i="195"/>
  <c r="E405" i="195"/>
  <c r="D405" i="195"/>
  <c r="C405" i="195"/>
  <c r="E394" i="195"/>
  <c r="D394" i="195"/>
  <c r="C394" i="195"/>
  <c r="F386" i="195"/>
  <c r="F385" i="195"/>
  <c r="F384" i="195"/>
  <c r="E383" i="195"/>
  <c r="D383" i="195"/>
  <c r="C383" i="195"/>
  <c r="F374" i="195"/>
  <c r="F373" i="195"/>
  <c r="E372" i="195"/>
  <c r="F372" i="195" s="1"/>
  <c r="D372" i="195"/>
  <c r="C372" i="195"/>
  <c r="F366" i="195"/>
  <c r="F365" i="195"/>
  <c r="F364" i="195"/>
  <c r="E360" i="195"/>
  <c r="D360" i="195"/>
  <c r="C360" i="195"/>
  <c r="F354" i="195"/>
  <c r="F352" i="195"/>
  <c r="E349" i="195"/>
  <c r="D349" i="195"/>
  <c r="C349" i="195"/>
  <c r="F342" i="195"/>
  <c r="E338" i="195"/>
  <c r="D338" i="195"/>
  <c r="C338" i="195"/>
  <c r="F331" i="195"/>
  <c r="E327" i="195"/>
  <c r="D327" i="195"/>
  <c r="C327" i="195"/>
  <c r="F319" i="195"/>
  <c r="E316" i="195"/>
  <c r="D310" i="195"/>
  <c r="D421" i="195" s="1"/>
  <c r="C310" i="195"/>
  <c r="C421" i="195" s="1"/>
  <c r="F308" i="195"/>
  <c r="F307" i="195"/>
  <c r="F306" i="195"/>
  <c r="E305" i="195"/>
  <c r="D305" i="195"/>
  <c r="C305" i="195"/>
  <c r="E294" i="195"/>
  <c r="D294" i="195"/>
  <c r="C294" i="195"/>
  <c r="F286" i="195"/>
  <c r="E282" i="195"/>
  <c r="D282" i="195"/>
  <c r="C282" i="195"/>
  <c r="F276" i="195"/>
  <c r="E271" i="195"/>
  <c r="D271" i="195"/>
  <c r="C271" i="195"/>
  <c r="F265" i="195"/>
  <c r="F263" i="195"/>
  <c r="E260" i="195"/>
  <c r="D260" i="195"/>
  <c r="C260" i="195"/>
  <c r="F256" i="195"/>
  <c r="F252" i="195"/>
  <c r="E249" i="195"/>
  <c r="D249" i="195"/>
  <c r="F249" i="195" s="1"/>
  <c r="C249" i="195"/>
  <c r="F246" i="195"/>
  <c r="E238" i="195"/>
  <c r="D238" i="195"/>
  <c r="C238" i="195"/>
  <c r="E227" i="195"/>
  <c r="D227" i="195"/>
  <c r="C227" i="195"/>
  <c r="F219" i="195"/>
  <c r="E215" i="195"/>
  <c r="F215" i="195" s="1"/>
  <c r="D215" i="195"/>
  <c r="C215" i="195"/>
  <c r="F207" i="195"/>
  <c r="E204" i="195"/>
  <c r="D204" i="195"/>
  <c r="C204" i="195"/>
  <c r="F196" i="195"/>
  <c r="F195" i="195"/>
  <c r="F194" i="195"/>
  <c r="E193" i="195"/>
  <c r="D193" i="195"/>
  <c r="C193" i="195"/>
  <c r="F187" i="195"/>
  <c r="F185" i="195"/>
  <c r="F184" i="195"/>
  <c r="F183" i="195"/>
  <c r="E182" i="195"/>
  <c r="D182" i="195"/>
  <c r="C182" i="195"/>
  <c r="F178" i="195"/>
  <c r="F176" i="195"/>
  <c r="F174" i="195"/>
  <c r="E171" i="195"/>
  <c r="D171" i="195"/>
  <c r="C171" i="195"/>
  <c r="F167" i="195"/>
  <c r="F163" i="195"/>
  <c r="E159" i="195"/>
  <c r="D159" i="195"/>
  <c r="C159" i="195"/>
  <c r="F155" i="195"/>
  <c r="F153" i="195"/>
  <c r="F151" i="195"/>
  <c r="E148" i="195"/>
  <c r="D148" i="195"/>
  <c r="C148" i="195"/>
  <c r="F142" i="195"/>
  <c r="E137" i="195"/>
  <c r="D137" i="195"/>
  <c r="C137" i="195"/>
  <c r="F131" i="195"/>
  <c r="F129" i="195"/>
  <c r="E126" i="195"/>
  <c r="D126" i="195"/>
  <c r="F126" i="195" s="1"/>
  <c r="C126" i="195"/>
  <c r="F123" i="195"/>
  <c r="F122" i="195"/>
  <c r="F118" i="195"/>
  <c r="E115" i="195"/>
  <c r="D115" i="195"/>
  <c r="C115" i="195"/>
  <c r="F112" i="195"/>
  <c r="F111" i="195"/>
  <c r="F107" i="195"/>
  <c r="E104" i="195"/>
  <c r="D104" i="195"/>
  <c r="F104" i="195" s="1"/>
  <c r="C104" i="195"/>
  <c r="F100" i="195"/>
  <c r="F96" i="195"/>
  <c r="E93" i="195"/>
  <c r="D93" i="195"/>
  <c r="C93" i="195"/>
  <c r="F90" i="195"/>
  <c r="F89" i="195"/>
  <c r="F85" i="195"/>
  <c r="F84" i="195"/>
  <c r="F83" i="195"/>
  <c r="E81" i="195"/>
  <c r="F81" i="195" s="1"/>
  <c r="D81" i="195"/>
  <c r="C81" i="195"/>
  <c r="F72" i="195"/>
  <c r="F71" i="195"/>
  <c r="E70" i="195"/>
  <c r="D70" i="195"/>
  <c r="C70" i="195"/>
  <c r="F64" i="195"/>
  <c r="E59" i="195"/>
  <c r="D59" i="195"/>
  <c r="F59" i="195" s="1"/>
  <c r="C59" i="195"/>
  <c r="F58" i="195"/>
  <c r="F53" i="195"/>
  <c r="E48" i="195"/>
  <c r="D48" i="195"/>
  <c r="C48" i="195"/>
  <c r="F42" i="195"/>
  <c r="E37" i="195"/>
  <c r="F37" i="195" s="1"/>
  <c r="D37" i="195"/>
  <c r="C37" i="195"/>
  <c r="F35" i="195"/>
  <c r="F34" i="195"/>
  <c r="F33" i="195"/>
  <c r="F31" i="195"/>
  <c r="F29" i="195"/>
  <c r="E26" i="195"/>
  <c r="D26" i="195"/>
  <c r="C26" i="195"/>
  <c r="F22" i="195"/>
  <c r="F20" i="195"/>
  <c r="F18" i="195"/>
  <c r="E15" i="195"/>
  <c r="C15" i="195"/>
  <c r="F13" i="195"/>
  <c r="F11" i="195"/>
  <c r="D9" i="195"/>
  <c r="D15" i="195" s="1"/>
  <c r="F7" i="195"/>
  <c r="F6" i="195"/>
  <c r="F5" i="195"/>
  <c r="F90" i="165"/>
  <c r="F64" i="165"/>
  <c r="D440" i="165"/>
  <c r="E440" i="165"/>
  <c r="D441" i="165"/>
  <c r="E441" i="165"/>
  <c r="D442" i="165"/>
  <c r="E442" i="165"/>
  <c r="D443" i="165"/>
  <c r="E443" i="165"/>
  <c r="D444" i="165"/>
  <c r="E444" i="165"/>
  <c r="D445" i="165"/>
  <c r="E445" i="165"/>
  <c r="D446" i="165"/>
  <c r="E446" i="165"/>
  <c r="D447" i="165"/>
  <c r="E447" i="165"/>
  <c r="D448" i="165"/>
  <c r="E448" i="165"/>
  <c r="D449" i="165"/>
  <c r="E449" i="165"/>
  <c r="C441" i="165"/>
  <c r="C442" i="165"/>
  <c r="C443" i="165"/>
  <c r="C444" i="165"/>
  <c r="C445" i="165"/>
  <c r="C446" i="165"/>
  <c r="C447" i="165"/>
  <c r="C448" i="165"/>
  <c r="C449" i="165"/>
  <c r="C440" i="165"/>
  <c r="F438" i="165"/>
  <c r="F407" i="165"/>
  <c r="F408" i="165"/>
  <c r="E417" i="165"/>
  <c r="D417" i="165"/>
  <c r="C417" i="165"/>
  <c r="F409" i="165"/>
  <c r="F396" i="165"/>
  <c r="F397" i="165"/>
  <c r="E406" i="165"/>
  <c r="D406" i="165"/>
  <c r="C406" i="165"/>
  <c r="F318" i="165"/>
  <c r="D321" i="165"/>
  <c r="C321" i="165"/>
  <c r="E305" i="165"/>
  <c r="D305" i="165"/>
  <c r="C305" i="165"/>
  <c r="F297" i="165"/>
  <c r="F275" i="165"/>
  <c r="F267" i="165"/>
  <c r="F263" i="165"/>
  <c r="E260" i="165"/>
  <c r="D260" i="165"/>
  <c r="C260" i="165"/>
  <c r="F257" i="165"/>
  <c r="F230" i="165"/>
  <c r="F207" i="165"/>
  <c r="E171" i="165"/>
  <c r="D171" i="165"/>
  <c r="C171" i="165"/>
  <c r="F167" i="165"/>
  <c r="F163" i="165"/>
  <c r="F153" i="165"/>
  <c r="F151" i="165"/>
  <c r="F131" i="165"/>
  <c r="F129" i="165"/>
  <c r="F142" i="165"/>
  <c r="F122" i="165"/>
  <c r="F123" i="165"/>
  <c r="F118" i="165"/>
  <c r="F112" i="165"/>
  <c r="F107" i="165"/>
  <c r="F35" i="165"/>
  <c r="F22" i="165"/>
  <c r="F20" i="165"/>
  <c r="F18" i="165"/>
  <c r="F13" i="165"/>
  <c r="D9" i="165"/>
  <c r="E41" i="156"/>
  <c r="F41" i="156" s="1"/>
  <c r="D41" i="156"/>
  <c r="C41" i="156"/>
  <c r="E40" i="156"/>
  <c r="D40" i="156"/>
  <c r="C40" i="156"/>
  <c r="E39" i="156"/>
  <c r="D39" i="156"/>
  <c r="C39" i="156"/>
  <c r="E38" i="156"/>
  <c r="D38" i="156"/>
  <c r="C38" i="156"/>
  <c r="E37" i="156"/>
  <c r="F37" i="156" s="1"/>
  <c r="D37" i="156"/>
  <c r="C37" i="156"/>
  <c r="E36" i="156"/>
  <c r="D36" i="156"/>
  <c r="C36" i="156"/>
  <c r="E35" i="156"/>
  <c r="D35" i="156"/>
  <c r="C35" i="156"/>
  <c r="E34" i="156"/>
  <c r="E42" i="156" s="1"/>
  <c r="F42" i="156" s="1"/>
  <c r="D34" i="156"/>
  <c r="D42" i="156" s="1"/>
  <c r="C34" i="156"/>
  <c r="C42" i="156" s="1"/>
  <c r="E33" i="156"/>
  <c r="D33" i="156"/>
  <c r="C33" i="156"/>
  <c r="E24" i="156"/>
  <c r="F24" i="156" s="1"/>
  <c r="D24" i="156"/>
  <c r="C24" i="156"/>
  <c r="F19" i="156"/>
  <c r="E15" i="156"/>
  <c r="F15" i="156" s="1"/>
  <c r="D15" i="156"/>
  <c r="C15" i="156"/>
  <c r="F14" i="156"/>
  <c r="E40" i="158"/>
  <c r="F40" i="158" s="1"/>
  <c r="D40" i="158"/>
  <c r="C40" i="158"/>
  <c r="E39" i="158"/>
  <c r="D39" i="158"/>
  <c r="C39" i="158"/>
  <c r="E38" i="158"/>
  <c r="D38" i="158"/>
  <c r="C38" i="158"/>
  <c r="E37" i="158"/>
  <c r="D37" i="158"/>
  <c r="C37" i="158"/>
  <c r="E36" i="158"/>
  <c r="F36" i="158" s="1"/>
  <c r="D36" i="158"/>
  <c r="C36" i="158"/>
  <c r="E35" i="158"/>
  <c r="D35" i="158"/>
  <c r="C35" i="158"/>
  <c r="E34" i="158"/>
  <c r="D34" i="158"/>
  <c r="C34" i="158"/>
  <c r="E33" i="158"/>
  <c r="E41" i="158" s="1"/>
  <c r="F41" i="158" s="1"/>
  <c r="D33" i="158"/>
  <c r="D41" i="158" s="1"/>
  <c r="C33" i="158"/>
  <c r="C41" i="158" s="1"/>
  <c r="E32" i="158"/>
  <c r="F32" i="158" s="1"/>
  <c r="D32" i="158"/>
  <c r="C32" i="158"/>
  <c r="F31" i="158"/>
  <c r="E23" i="158"/>
  <c r="F23" i="158" s="1"/>
  <c r="D23" i="158"/>
  <c r="C23" i="158"/>
  <c r="F15" i="158"/>
  <c r="E14" i="158"/>
  <c r="F14" i="158" s="1"/>
  <c r="D14" i="158"/>
  <c r="C14" i="158"/>
  <c r="F9" i="158"/>
  <c r="F6" i="158"/>
  <c r="F23" i="159"/>
  <c r="F15" i="159"/>
  <c r="C23" i="159"/>
  <c r="D23" i="159"/>
  <c r="E23" i="159"/>
  <c r="F6" i="159"/>
  <c r="D31" i="160"/>
  <c r="E31" i="160"/>
  <c r="C31" i="160"/>
  <c r="D23" i="160"/>
  <c r="E23" i="160"/>
  <c r="D24" i="160"/>
  <c r="E24" i="160"/>
  <c r="D25" i="160"/>
  <c r="E25" i="160"/>
  <c r="D26" i="160"/>
  <c r="E26" i="160"/>
  <c r="D27" i="160"/>
  <c r="E27" i="160"/>
  <c r="D28" i="160"/>
  <c r="E28" i="160"/>
  <c r="D29" i="160"/>
  <c r="E29" i="160"/>
  <c r="D30" i="160"/>
  <c r="E30" i="160"/>
  <c r="C24" i="160"/>
  <c r="C25" i="160"/>
  <c r="C26" i="160"/>
  <c r="C27" i="160"/>
  <c r="C28" i="160"/>
  <c r="C29" i="160"/>
  <c r="C30" i="160"/>
  <c r="C23" i="160"/>
  <c r="E22" i="160"/>
  <c r="F22" i="160" s="1"/>
  <c r="D22" i="160"/>
  <c r="C22" i="160"/>
  <c r="F17" i="160"/>
  <c r="E13" i="160"/>
  <c r="D13" i="160"/>
  <c r="C13" i="160"/>
  <c r="F8" i="160"/>
  <c r="F5" i="160"/>
  <c r="D151" i="162"/>
  <c r="C300" i="162"/>
  <c r="D300" i="162"/>
  <c r="E300" i="162"/>
  <c r="C301" i="162"/>
  <c r="D301" i="162"/>
  <c r="E301" i="162"/>
  <c r="C302" i="162"/>
  <c r="D302" i="162"/>
  <c r="E302" i="162"/>
  <c r="C303" i="162"/>
  <c r="D303" i="162"/>
  <c r="E303" i="162"/>
  <c r="C304" i="162"/>
  <c r="D304" i="162"/>
  <c r="F304" i="162" s="1"/>
  <c r="C305" i="162"/>
  <c r="D305" i="162"/>
  <c r="E305" i="162"/>
  <c r="C306" i="162"/>
  <c r="D306" i="162"/>
  <c r="E306" i="162"/>
  <c r="D299" i="162"/>
  <c r="D307" i="162" s="1"/>
  <c r="E299" i="162"/>
  <c r="F299" i="162" s="1"/>
  <c r="C299" i="162"/>
  <c r="C307" i="162" s="1"/>
  <c r="F283" i="162"/>
  <c r="F272" i="162"/>
  <c r="E280" i="162"/>
  <c r="D280" i="162"/>
  <c r="C280" i="162"/>
  <c r="F264" i="162"/>
  <c r="F263" i="162"/>
  <c r="E271" i="162"/>
  <c r="D271" i="162"/>
  <c r="C271" i="162"/>
  <c r="F258" i="162"/>
  <c r="C234" i="162"/>
  <c r="D234" i="162"/>
  <c r="E234" i="162"/>
  <c r="D215" i="162"/>
  <c r="C215" i="162"/>
  <c r="E215" i="162"/>
  <c r="F207" i="162"/>
  <c r="E188" i="162"/>
  <c r="D188" i="162"/>
  <c r="C188" i="162"/>
  <c r="F164" i="162"/>
  <c r="D160" i="162"/>
  <c r="C160" i="162"/>
  <c r="C133" i="162"/>
  <c r="F125" i="162"/>
  <c r="D133" i="162"/>
  <c r="F118" i="162"/>
  <c r="F116" i="162"/>
  <c r="D114" i="162"/>
  <c r="F98" i="162"/>
  <c r="E105" i="162"/>
  <c r="D105" i="162"/>
  <c r="C105" i="162"/>
  <c r="E59" i="162"/>
  <c r="D59" i="162"/>
  <c r="C59" i="162"/>
  <c r="F39" i="162"/>
  <c r="F23" i="162"/>
  <c r="F24" i="162"/>
  <c r="F10" i="162"/>
  <c r="F9" i="162"/>
  <c r="D44" i="163"/>
  <c r="C43" i="163"/>
  <c r="F148" i="195" l="1"/>
  <c r="F193" i="195"/>
  <c r="F93" i="195"/>
  <c r="F394" i="195"/>
  <c r="F171" i="195"/>
  <c r="F271" i="195"/>
  <c r="F294" i="195"/>
  <c r="F62" i="198"/>
  <c r="F51" i="198"/>
  <c r="F48" i="197"/>
  <c r="F38" i="197"/>
  <c r="F29" i="196"/>
  <c r="F33" i="196"/>
  <c r="F15" i="196"/>
  <c r="F26" i="196"/>
  <c r="F338" i="195"/>
  <c r="F360" i="195"/>
  <c r="F137" i="195"/>
  <c r="C316" i="195"/>
  <c r="F327" i="195"/>
  <c r="F349" i="195"/>
  <c r="F383" i="195"/>
  <c r="F416" i="195"/>
  <c r="F418" i="195"/>
  <c r="F420" i="195"/>
  <c r="F424" i="195"/>
  <c r="F26" i="195"/>
  <c r="F48" i="195"/>
  <c r="F70" i="195"/>
  <c r="F115" i="195"/>
  <c r="F159" i="195"/>
  <c r="F182" i="195"/>
  <c r="F204" i="195"/>
  <c r="F227" i="195"/>
  <c r="F260" i="195"/>
  <c r="F282" i="195"/>
  <c r="F421" i="195"/>
  <c r="F419" i="195"/>
  <c r="F423" i="195"/>
  <c r="F425" i="195"/>
  <c r="C37" i="196"/>
  <c r="F31" i="196"/>
  <c r="D37" i="196"/>
  <c r="F37" i="196" s="1"/>
  <c r="F27" i="196"/>
  <c r="F15" i="195"/>
  <c r="C427" i="195"/>
  <c r="D427" i="195"/>
  <c r="F427" i="195" s="1"/>
  <c r="F9" i="195"/>
  <c r="F310" i="195"/>
  <c r="D316" i="195"/>
  <c r="F316" i="195" s="1"/>
  <c r="F417" i="195"/>
  <c r="D450" i="165"/>
  <c r="C450" i="165"/>
  <c r="E450" i="165"/>
  <c r="F417" i="165"/>
  <c r="F406" i="165"/>
  <c r="F305" i="165"/>
  <c r="F260" i="165"/>
  <c r="F171" i="165"/>
  <c r="F13" i="160"/>
  <c r="F24" i="160"/>
  <c r="F23" i="160"/>
  <c r="F26" i="160"/>
  <c r="E307" i="162"/>
  <c r="F280" i="162"/>
  <c r="F271" i="162"/>
  <c r="F215" i="162"/>
  <c r="E160" i="162"/>
  <c r="E133" i="162"/>
  <c r="F133" i="162" s="1"/>
  <c r="F59" i="162"/>
  <c r="K17" i="163"/>
  <c r="D14" i="71"/>
  <c r="C14" i="71"/>
  <c r="B14" i="71"/>
  <c r="C13" i="71"/>
  <c r="B13" i="71"/>
  <c r="F31" i="160" l="1"/>
  <c r="D21" i="133" l="1"/>
  <c r="J23" i="154"/>
  <c r="J15" i="154"/>
  <c r="N21" i="163" l="1"/>
  <c r="E21" i="199" l="1"/>
  <c r="D21" i="199"/>
  <c r="E26" i="199"/>
  <c r="D26" i="199"/>
  <c r="E15" i="199"/>
  <c r="D15" i="199"/>
  <c r="D33" i="199" l="1"/>
  <c r="E33" i="199"/>
  <c r="F32" i="83"/>
  <c r="C39" i="73"/>
  <c r="D39" i="73"/>
  <c r="E39" i="73"/>
  <c r="C40" i="73"/>
  <c r="D40" i="73"/>
  <c r="E40" i="73"/>
  <c r="C41" i="73"/>
  <c r="D41" i="73"/>
  <c r="E41" i="73"/>
  <c r="C42" i="73"/>
  <c r="D42" i="73"/>
  <c r="E42" i="73"/>
  <c r="C43" i="73"/>
  <c r="D43" i="73"/>
  <c r="E43" i="73"/>
  <c r="C44" i="73"/>
  <c r="D44" i="73"/>
  <c r="E44" i="73"/>
  <c r="C45" i="73"/>
  <c r="D45" i="73"/>
  <c r="E45" i="73"/>
  <c r="C46" i="73"/>
  <c r="D46" i="73"/>
  <c r="E46" i="73"/>
  <c r="C47" i="73"/>
  <c r="D47" i="73"/>
  <c r="E47" i="73"/>
  <c r="D38" i="73"/>
  <c r="E38" i="73"/>
  <c r="C38" i="73"/>
  <c r="F317" i="165"/>
  <c r="F331" i="165"/>
  <c r="D126" i="165"/>
  <c r="E126" i="165"/>
  <c r="F126" i="165" s="1"/>
  <c r="C126" i="165"/>
  <c r="C339" i="165"/>
  <c r="C114" i="162" l="1"/>
  <c r="F27" i="162"/>
  <c r="C35" i="157"/>
  <c r="D35" i="157"/>
  <c r="E35" i="157"/>
  <c r="C36" i="157"/>
  <c r="D36" i="157"/>
  <c r="E36" i="157"/>
  <c r="C37" i="157"/>
  <c r="D37" i="157"/>
  <c r="E37" i="157"/>
  <c r="C38" i="157"/>
  <c r="D38" i="157"/>
  <c r="E38" i="157"/>
  <c r="C39" i="157"/>
  <c r="D39" i="157"/>
  <c r="E39" i="157"/>
  <c r="C40" i="157"/>
  <c r="D40" i="157"/>
  <c r="E40" i="157"/>
  <c r="C41" i="157"/>
  <c r="D41" i="157"/>
  <c r="E41" i="157"/>
  <c r="D34" i="157"/>
  <c r="E34" i="157"/>
  <c r="C34" i="157"/>
  <c r="D34" i="159"/>
  <c r="E34" i="159"/>
  <c r="D35" i="159"/>
  <c r="E35" i="159"/>
  <c r="D36" i="159"/>
  <c r="E36" i="159"/>
  <c r="D37" i="159"/>
  <c r="E37" i="159"/>
  <c r="D38" i="159"/>
  <c r="E38" i="159"/>
  <c r="D39" i="159"/>
  <c r="E39" i="159"/>
  <c r="D40" i="159"/>
  <c r="E40" i="159"/>
  <c r="C34" i="159"/>
  <c r="C35" i="159"/>
  <c r="C36" i="159"/>
  <c r="C37" i="159"/>
  <c r="C38" i="159"/>
  <c r="C39" i="159"/>
  <c r="C40" i="159"/>
  <c r="D33" i="159"/>
  <c r="E33" i="159"/>
  <c r="C33" i="159"/>
  <c r="F31" i="159"/>
  <c r="F303" i="162" l="1"/>
  <c r="C16" i="71"/>
  <c r="D16" i="71"/>
  <c r="B16" i="71"/>
  <c r="D42" i="163"/>
  <c r="C23" i="163"/>
  <c r="C20" i="163" s="1"/>
  <c r="D23" i="163"/>
  <c r="B23" i="163"/>
  <c r="B20" i="163" s="1"/>
  <c r="L42" i="163"/>
  <c r="H42" i="163"/>
  <c r="H23" i="189" l="1"/>
  <c r="G23" i="189"/>
  <c r="E23" i="189"/>
  <c r="D23" i="189"/>
  <c r="F7" i="189"/>
  <c r="F23" i="189" s="1"/>
  <c r="F58" i="165" l="1"/>
  <c r="F187" i="165"/>
  <c r="D339" i="165" l="1"/>
  <c r="E339" i="165"/>
  <c r="E316" i="165"/>
  <c r="D316" i="165"/>
  <c r="C316" i="165"/>
  <c r="F277" i="165"/>
  <c r="F178" i="165"/>
  <c r="F339" i="165" l="1"/>
  <c r="F155" i="165"/>
  <c r="E104" i="165"/>
  <c r="D104" i="165"/>
  <c r="C104" i="165"/>
  <c r="F100" i="165"/>
  <c r="F96" i="165"/>
  <c r="F83" i="165"/>
  <c r="F84" i="165"/>
  <c r="F42" i="165"/>
  <c r="F34" i="165"/>
  <c r="F31" i="165"/>
  <c r="C15" i="165"/>
  <c r="F104" i="165" l="1"/>
  <c r="E197" i="162"/>
  <c r="D197" i="162"/>
  <c r="C197" i="162"/>
  <c r="E179" i="162"/>
  <c r="D179" i="162"/>
  <c r="C179" i="162"/>
  <c r="F171" i="162"/>
  <c r="D123" i="162"/>
  <c r="E123" i="162"/>
  <c r="C123" i="162"/>
  <c r="D86" i="162"/>
  <c r="E86" i="162"/>
  <c r="C86" i="162"/>
  <c r="F81" i="162"/>
  <c r="F123" i="162" l="1"/>
  <c r="F179" i="162"/>
  <c r="F86" i="162"/>
  <c r="C28" i="154"/>
  <c r="D16" i="154"/>
  <c r="J14" i="154"/>
  <c r="E21" i="154" l="1"/>
  <c r="E22" i="154"/>
  <c r="E23" i="154"/>
  <c r="G16" i="147"/>
  <c r="G10" i="145" l="1"/>
  <c r="G21" i="145" s="1"/>
  <c r="I13" i="150" l="1"/>
  <c r="I14" i="150"/>
  <c r="I15" i="150"/>
  <c r="I16" i="150"/>
  <c r="I18" i="150"/>
  <c r="I17" i="150"/>
  <c r="I12" i="150"/>
  <c r="E34" i="72" l="1"/>
  <c r="N34" i="72"/>
  <c r="O34" i="72"/>
  <c r="P34" i="72"/>
  <c r="Q34" i="72" l="1"/>
  <c r="E11" i="72"/>
  <c r="E20" i="71"/>
  <c r="C31" i="163"/>
  <c r="D31" i="163"/>
  <c r="B31" i="163"/>
  <c r="C9" i="163"/>
  <c r="D9" i="163"/>
  <c r="B9" i="163"/>
  <c r="B8" i="163" s="1"/>
  <c r="P14" i="163"/>
  <c r="N15" i="163"/>
  <c r="G14" i="146"/>
  <c r="E26" i="73"/>
  <c r="C15" i="73"/>
  <c r="E47" i="158"/>
  <c r="E45" i="158"/>
  <c r="E42" i="158"/>
  <c r="F42" i="163"/>
  <c r="F37" i="163" s="1"/>
  <c r="F36" i="163" s="1"/>
  <c r="G42" i="163"/>
  <c r="G37" i="163" s="1"/>
  <c r="K42" i="163"/>
  <c r="K37" i="163" s="1"/>
  <c r="F53" i="165"/>
  <c r="E26" i="165"/>
  <c r="D26" i="165"/>
  <c r="C26" i="165"/>
  <c r="P38" i="72"/>
  <c r="O38" i="72"/>
  <c r="N38" i="72"/>
  <c r="P28" i="72"/>
  <c r="P30" i="72"/>
  <c r="P31" i="72"/>
  <c r="O28" i="72"/>
  <c r="O30" i="72"/>
  <c r="O31" i="72"/>
  <c r="N28" i="72"/>
  <c r="N30" i="72"/>
  <c r="N31" i="72"/>
  <c r="N33" i="72"/>
  <c r="P22" i="72"/>
  <c r="O22" i="72"/>
  <c r="N22" i="72"/>
  <c r="N23" i="72"/>
  <c r="I13" i="152"/>
  <c r="I16" i="152"/>
  <c r="H13" i="152"/>
  <c r="H14" i="152"/>
  <c r="H15" i="152"/>
  <c r="I15" i="152" s="1"/>
  <c r="H16" i="152"/>
  <c r="H17" i="152"/>
  <c r="I17" i="152" s="1"/>
  <c r="H18" i="152"/>
  <c r="I18" i="152" s="1"/>
  <c r="I12" i="152"/>
  <c r="H12" i="152"/>
  <c r="H18" i="151"/>
  <c r="I18" i="151" s="1"/>
  <c r="F388" i="165"/>
  <c r="F389" i="165"/>
  <c r="F448" i="165"/>
  <c r="F380" i="165"/>
  <c r="F374" i="165"/>
  <c r="F375" i="165"/>
  <c r="F376" i="165"/>
  <c r="F343" i="165"/>
  <c r="C350" i="165"/>
  <c r="D350" i="165"/>
  <c r="E350" i="165"/>
  <c r="F319" i="165"/>
  <c r="F321" i="165"/>
  <c r="E327" i="165"/>
  <c r="D327" i="165"/>
  <c r="C327" i="165"/>
  <c r="E283" i="165"/>
  <c r="D283" i="165"/>
  <c r="C283" i="165"/>
  <c r="E271" i="165"/>
  <c r="D271" i="165"/>
  <c r="C271" i="165"/>
  <c r="E215" i="165"/>
  <c r="D215" i="165"/>
  <c r="C215" i="165"/>
  <c r="F196" i="165"/>
  <c r="F195" i="165"/>
  <c r="F194" i="165"/>
  <c r="F184" i="165"/>
  <c r="F185" i="165"/>
  <c r="F174" i="165"/>
  <c r="F111" i="165"/>
  <c r="F72" i="165"/>
  <c r="F71" i="165"/>
  <c r="F29" i="165"/>
  <c r="F6" i="165"/>
  <c r="F7" i="165"/>
  <c r="F9" i="165"/>
  <c r="F11" i="165"/>
  <c r="F5" i="165"/>
  <c r="F134" i="162"/>
  <c r="F137" i="162"/>
  <c r="C142" i="162"/>
  <c r="D142" i="162"/>
  <c r="E142" i="162"/>
  <c r="F297" i="162"/>
  <c r="E298" i="162"/>
  <c r="D298" i="162"/>
  <c r="C298" i="162"/>
  <c r="E289" i="162"/>
  <c r="D289" i="162"/>
  <c r="C289" i="162"/>
  <c r="E261" i="162"/>
  <c r="D261" i="162"/>
  <c r="C261" i="162"/>
  <c r="F247" i="162"/>
  <c r="E252" i="162"/>
  <c r="D252" i="162"/>
  <c r="C252" i="162"/>
  <c r="F161" i="162"/>
  <c r="F146" i="162"/>
  <c r="D96" i="162"/>
  <c r="E96" i="162"/>
  <c r="C96" i="162"/>
  <c r="F60" i="162"/>
  <c r="F32" i="162"/>
  <c r="D31" i="162"/>
  <c r="E31" i="162"/>
  <c r="C31" i="162"/>
  <c r="F26" i="162"/>
  <c r="F17" i="162"/>
  <c r="F8" i="162"/>
  <c r="H42" i="145"/>
  <c r="E49" i="158"/>
  <c r="D43" i="158"/>
  <c r="D44" i="158"/>
  <c r="D45" i="158"/>
  <c r="D46" i="158"/>
  <c r="D47" i="158"/>
  <c r="D48" i="158"/>
  <c r="D49" i="158"/>
  <c r="C43" i="158"/>
  <c r="C44" i="158"/>
  <c r="C45" i="158"/>
  <c r="C46" i="158"/>
  <c r="C47" i="158"/>
  <c r="C48" i="158"/>
  <c r="C49" i="158"/>
  <c r="D42" i="158"/>
  <c r="C42" i="158"/>
  <c r="F42" i="73"/>
  <c r="F9" i="159"/>
  <c r="D15" i="157"/>
  <c r="E15" i="157"/>
  <c r="C15" i="157"/>
  <c r="F14" i="157"/>
  <c r="C52" i="83"/>
  <c r="C29" i="83"/>
  <c r="F23" i="83"/>
  <c r="F37" i="157"/>
  <c r="L37" i="163"/>
  <c r="L36" i="163" s="1"/>
  <c r="P40" i="163"/>
  <c r="O40" i="163"/>
  <c r="N40" i="163"/>
  <c r="E15" i="154"/>
  <c r="E38" i="72"/>
  <c r="J16" i="71"/>
  <c r="M13" i="71"/>
  <c r="B38" i="163"/>
  <c r="D38" i="163"/>
  <c r="P38" i="163" s="1"/>
  <c r="C38" i="163"/>
  <c r="D28" i="154"/>
  <c r="D30" i="154" s="1"/>
  <c r="E439" i="165"/>
  <c r="D439" i="165"/>
  <c r="C439" i="165"/>
  <c r="F431" i="165"/>
  <c r="E428" i="165"/>
  <c r="D428" i="165"/>
  <c r="C428" i="165"/>
  <c r="E395" i="165"/>
  <c r="D395" i="165"/>
  <c r="C395" i="165"/>
  <c r="F387" i="165"/>
  <c r="E384" i="165"/>
  <c r="D384" i="165"/>
  <c r="C384" i="165"/>
  <c r="E372" i="165"/>
  <c r="D372" i="165"/>
  <c r="C372" i="165"/>
  <c r="F366" i="165"/>
  <c r="F364" i="165"/>
  <c r="E361" i="165"/>
  <c r="D361" i="165"/>
  <c r="C361" i="165"/>
  <c r="F354" i="165"/>
  <c r="E294" i="165"/>
  <c r="D294" i="165"/>
  <c r="C294" i="165"/>
  <c r="F288" i="165"/>
  <c r="E249" i="165"/>
  <c r="D249" i="165"/>
  <c r="C249" i="165"/>
  <c r="E238" i="165"/>
  <c r="D238" i="165"/>
  <c r="C238" i="165"/>
  <c r="E227" i="165"/>
  <c r="D227" i="165"/>
  <c r="C227" i="165"/>
  <c r="F221" i="165"/>
  <c r="F219" i="165"/>
  <c r="E204" i="165"/>
  <c r="D204" i="165"/>
  <c r="C204" i="165"/>
  <c r="E193" i="165"/>
  <c r="D193" i="165"/>
  <c r="C193" i="165"/>
  <c r="F183" i="165"/>
  <c r="E182" i="165"/>
  <c r="D182" i="165"/>
  <c r="C182" i="165"/>
  <c r="F176" i="165"/>
  <c r="E159" i="165"/>
  <c r="D159" i="165"/>
  <c r="C159" i="165"/>
  <c r="E148" i="165"/>
  <c r="D148" i="165"/>
  <c r="C148" i="165"/>
  <c r="E137" i="165"/>
  <c r="D137" i="165"/>
  <c r="C137" i="165"/>
  <c r="E115" i="165"/>
  <c r="D115" i="165"/>
  <c r="C115" i="165"/>
  <c r="E93" i="165"/>
  <c r="D93" i="165"/>
  <c r="C93" i="165"/>
  <c r="F89" i="165"/>
  <c r="F85" i="165"/>
  <c r="E81" i="165"/>
  <c r="D81" i="165"/>
  <c r="C81" i="165"/>
  <c r="E70" i="165"/>
  <c r="D70" i="165"/>
  <c r="C70" i="165"/>
  <c r="E59" i="165"/>
  <c r="D59" i="165"/>
  <c r="C59" i="165"/>
  <c r="E48" i="165"/>
  <c r="D48" i="165"/>
  <c r="C48" i="165"/>
  <c r="E37" i="165"/>
  <c r="D37" i="165"/>
  <c r="C37" i="165"/>
  <c r="F33" i="165"/>
  <c r="E15" i="165"/>
  <c r="D15" i="165"/>
  <c r="J13" i="154"/>
  <c r="P46" i="163"/>
  <c r="O46" i="163"/>
  <c r="N46" i="163"/>
  <c r="M46" i="163"/>
  <c r="I46" i="163"/>
  <c r="P45" i="163"/>
  <c r="O45" i="163"/>
  <c r="N45" i="163"/>
  <c r="P44" i="163"/>
  <c r="O44" i="163"/>
  <c r="N44" i="163"/>
  <c r="E44" i="163"/>
  <c r="P43" i="163"/>
  <c r="O43" i="163"/>
  <c r="N43" i="163"/>
  <c r="E43" i="163"/>
  <c r="J42" i="163"/>
  <c r="C42" i="163"/>
  <c r="B42" i="163"/>
  <c r="P41" i="163"/>
  <c r="O41" i="163"/>
  <c r="N41" i="163"/>
  <c r="P39" i="163"/>
  <c r="O39" i="163"/>
  <c r="N39" i="163"/>
  <c r="E39" i="163"/>
  <c r="J37" i="163"/>
  <c r="J36" i="163" s="1"/>
  <c r="P33" i="163"/>
  <c r="N33" i="163"/>
  <c r="P32" i="163"/>
  <c r="N32" i="163"/>
  <c r="L31" i="163"/>
  <c r="K31" i="163"/>
  <c r="K29" i="163" s="1"/>
  <c r="J31" i="163"/>
  <c r="H31" i="163"/>
  <c r="G31" i="163"/>
  <c r="F31" i="163"/>
  <c r="P30" i="163"/>
  <c r="N30" i="163"/>
  <c r="E30" i="163"/>
  <c r="J29" i="163"/>
  <c r="N29" i="163" s="1"/>
  <c r="P28" i="163"/>
  <c r="N28" i="163"/>
  <c r="M28" i="163"/>
  <c r="I28" i="163"/>
  <c r="E28" i="163"/>
  <c r="P27" i="163"/>
  <c r="N27" i="163"/>
  <c r="E27" i="163"/>
  <c r="P26" i="163"/>
  <c r="N26" i="163"/>
  <c r="P25" i="163"/>
  <c r="N25" i="163"/>
  <c r="E25" i="163"/>
  <c r="P24" i="163"/>
  <c r="N24" i="163"/>
  <c r="E24" i="163"/>
  <c r="L23" i="163"/>
  <c r="L20" i="163" s="1"/>
  <c r="K23" i="163"/>
  <c r="J23" i="163"/>
  <c r="H23" i="163"/>
  <c r="H20" i="163" s="1"/>
  <c r="G23" i="163"/>
  <c r="G20" i="163" s="1"/>
  <c r="F23" i="163"/>
  <c r="D20" i="163"/>
  <c r="P22" i="163"/>
  <c r="N22" i="163"/>
  <c r="E22" i="163"/>
  <c r="F20" i="163"/>
  <c r="P19" i="163"/>
  <c r="N19" i="163"/>
  <c r="E19" i="163"/>
  <c r="P18" i="163"/>
  <c r="N18" i="163"/>
  <c r="E18" i="163"/>
  <c r="L17" i="163"/>
  <c r="J17" i="163"/>
  <c r="H17" i="163"/>
  <c r="G17" i="163"/>
  <c r="F17" i="163"/>
  <c r="D17" i="163"/>
  <c r="C17" i="163"/>
  <c r="B17" i="163"/>
  <c r="P16" i="163"/>
  <c r="N16" i="163"/>
  <c r="E16" i="163"/>
  <c r="P13" i="163"/>
  <c r="N13" i="163"/>
  <c r="E13" i="163"/>
  <c r="P12" i="163"/>
  <c r="N12" i="163"/>
  <c r="E12" i="163"/>
  <c r="P11" i="163"/>
  <c r="N11" i="163"/>
  <c r="E11" i="163"/>
  <c r="P10" i="163"/>
  <c r="N10" i="163"/>
  <c r="E10" i="163"/>
  <c r="L9" i="163"/>
  <c r="L8" i="163" s="1"/>
  <c r="K9" i="163"/>
  <c r="K8" i="163"/>
  <c r="J9" i="163"/>
  <c r="J8" i="163" s="1"/>
  <c r="H9" i="163"/>
  <c r="H8" i="163" s="1"/>
  <c r="G9" i="163"/>
  <c r="G8" i="163" s="1"/>
  <c r="F9" i="163"/>
  <c r="F8" i="163" s="1"/>
  <c r="D8" i="163"/>
  <c r="E243" i="162"/>
  <c r="D243" i="162"/>
  <c r="C243" i="162"/>
  <c r="E224" i="162"/>
  <c r="D224" i="162"/>
  <c r="C224" i="162"/>
  <c r="F216" i="162"/>
  <c r="E206" i="162"/>
  <c r="D206" i="162"/>
  <c r="C206" i="162"/>
  <c r="E169" i="162"/>
  <c r="D169" i="162"/>
  <c r="C169" i="162"/>
  <c r="E151" i="162"/>
  <c r="C151" i="162"/>
  <c r="F89" i="162"/>
  <c r="E77" i="162"/>
  <c r="D77" i="162"/>
  <c r="C77" i="162"/>
  <c r="F72" i="162"/>
  <c r="F70" i="162"/>
  <c r="F69" i="162"/>
  <c r="E68" i="162"/>
  <c r="D68" i="162"/>
  <c r="C68" i="162"/>
  <c r="E49" i="162"/>
  <c r="D49" i="162"/>
  <c r="C49" i="162"/>
  <c r="E40" i="162"/>
  <c r="D40" i="162"/>
  <c r="C40" i="162"/>
  <c r="F33" i="162"/>
  <c r="E22" i="162"/>
  <c r="D22" i="162"/>
  <c r="C22" i="162"/>
  <c r="E13" i="162"/>
  <c r="D13" i="162"/>
  <c r="C13" i="162"/>
  <c r="E32" i="159"/>
  <c r="D32" i="159"/>
  <c r="C32" i="159"/>
  <c r="E14" i="159"/>
  <c r="D14" i="159"/>
  <c r="C14" i="159"/>
  <c r="E33" i="157"/>
  <c r="D33" i="157"/>
  <c r="C33" i="157"/>
  <c r="E24" i="157"/>
  <c r="D24" i="157"/>
  <c r="C24" i="157"/>
  <c r="F19" i="157"/>
  <c r="J26" i="154"/>
  <c r="J25" i="154"/>
  <c r="J20" i="154"/>
  <c r="E20" i="154"/>
  <c r="H30" i="154"/>
  <c r="E13" i="154"/>
  <c r="J12" i="154"/>
  <c r="E12" i="154"/>
  <c r="J11" i="154"/>
  <c r="E11" i="154"/>
  <c r="J10" i="154"/>
  <c r="E10" i="154"/>
  <c r="E9" i="154"/>
  <c r="E28" i="72"/>
  <c r="G12" i="147"/>
  <c r="G22" i="147" s="1"/>
  <c r="N21" i="72"/>
  <c r="N25" i="72"/>
  <c r="N26" i="72"/>
  <c r="O21" i="72"/>
  <c r="P25" i="72"/>
  <c r="P26" i="72"/>
  <c r="P23" i="72"/>
  <c r="I19" i="150"/>
  <c r="I24" i="150" s="1"/>
  <c r="E26" i="72"/>
  <c r="O26" i="72"/>
  <c r="E25" i="72"/>
  <c r="O25" i="72"/>
  <c r="E23" i="72"/>
  <c r="O23" i="72"/>
  <c r="D21" i="132"/>
  <c r="D18" i="132"/>
  <c r="D22" i="132" s="1"/>
  <c r="D14" i="132"/>
  <c r="D11" i="132"/>
  <c r="D18" i="133"/>
  <c r="D14" i="133"/>
  <c r="D11" i="133"/>
  <c r="D23" i="134"/>
  <c r="D20" i="134"/>
  <c r="D16" i="134"/>
  <c r="D13" i="134"/>
  <c r="D24" i="152"/>
  <c r="G19" i="152"/>
  <c r="G24" i="152"/>
  <c r="F19" i="152"/>
  <c r="F24" i="152" s="1"/>
  <c r="E19" i="152"/>
  <c r="E24" i="152" s="1"/>
  <c r="C19" i="152"/>
  <c r="C24" i="152" s="1"/>
  <c r="G20" i="151"/>
  <c r="G25" i="151" s="1"/>
  <c r="F20" i="151"/>
  <c r="F25" i="151" s="1"/>
  <c r="E20" i="151"/>
  <c r="E25" i="151" s="1"/>
  <c r="D20" i="151"/>
  <c r="D25" i="151" s="1"/>
  <c r="C20" i="151"/>
  <c r="C25" i="151" s="1"/>
  <c r="H19" i="151"/>
  <c r="H20" i="151"/>
  <c r="H25" i="151" s="1"/>
  <c r="H19" i="150"/>
  <c r="H24" i="150" s="1"/>
  <c r="G19" i="150"/>
  <c r="G24" i="150" s="1"/>
  <c r="F19" i="150"/>
  <c r="F24" i="150" s="1"/>
  <c r="E19" i="150"/>
  <c r="E24" i="150" s="1"/>
  <c r="D19" i="150"/>
  <c r="D24" i="150" s="1"/>
  <c r="C19" i="150"/>
  <c r="C24" i="150" s="1"/>
  <c r="G17" i="146"/>
  <c r="G20" i="146" s="1"/>
  <c r="G10" i="146"/>
  <c r="N39" i="72"/>
  <c r="P36" i="72"/>
  <c r="O36" i="72"/>
  <c r="N36" i="72"/>
  <c r="E37" i="73"/>
  <c r="D37" i="73"/>
  <c r="M13" i="72"/>
  <c r="M12" i="72"/>
  <c r="M10" i="72"/>
  <c r="M8" i="72"/>
  <c r="I19" i="72"/>
  <c r="I12" i="72"/>
  <c r="I10" i="72"/>
  <c r="I8" i="72"/>
  <c r="E39" i="72"/>
  <c r="E35" i="72"/>
  <c r="E33" i="72"/>
  <c r="E31" i="72"/>
  <c r="E30" i="72"/>
  <c r="E27" i="72"/>
  <c r="E21" i="72"/>
  <c r="E20" i="72"/>
  <c r="E19" i="72"/>
  <c r="E10" i="72"/>
  <c r="E9" i="72"/>
  <c r="E8" i="72"/>
  <c r="E13" i="72"/>
  <c r="E14" i="72"/>
  <c r="E12" i="72"/>
  <c r="I18" i="71"/>
  <c r="D52" i="83"/>
  <c r="E52" i="83"/>
  <c r="D53" i="83"/>
  <c r="E53" i="83"/>
  <c r="D54" i="83"/>
  <c r="E54" i="83"/>
  <c r="D55" i="83"/>
  <c r="E55" i="83"/>
  <c r="D56" i="83"/>
  <c r="E56" i="83"/>
  <c r="D57" i="83"/>
  <c r="E57" i="83"/>
  <c r="D58" i="83"/>
  <c r="E58" i="83"/>
  <c r="D59" i="83"/>
  <c r="E59" i="83"/>
  <c r="D60" i="83"/>
  <c r="E60" i="83"/>
  <c r="D61" i="83"/>
  <c r="E61" i="83"/>
  <c r="C53" i="83"/>
  <c r="C54" i="83"/>
  <c r="C55" i="83"/>
  <c r="C56" i="83"/>
  <c r="C57" i="83"/>
  <c r="C58" i="83"/>
  <c r="C59" i="83"/>
  <c r="C60" i="83"/>
  <c r="C61" i="83"/>
  <c r="G16" i="71"/>
  <c r="H16" i="71"/>
  <c r="F16" i="71"/>
  <c r="K7" i="72"/>
  <c r="L7" i="72"/>
  <c r="K15" i="72"/>
  <c r="L15" i="72"/>
  <c r="K37" i="72"/>
  <c r="L37" i="72"/>
  <c r="G37" i="72"/>
  <c r="H37" i="72"/>
  <c r="G15" i="72"/>
  <c r="H15" i="72"/>
  <c r="G7" i="72"/>
  <c r="H7" i="72"/>
  <c r="C37" i="72"/>
  <c r="C40" i="72" s="1"/>
  <c r="D37" i="72"/>
  <c r="C7" i="72"/>
  <c r="D7" i="72"/>
  <c r="O8" i="72"/>
  <c r="P8" i="72"/>
  <c r="O9" i="72"/>
  <c r="P9" i="72"/>
  <c r="O10" i="72"/>
  <c r="P10" i="72"/>
  <c r="O11" i="72"/>
  <c r="P11" i="72"/>
  <c r="O12" i="72"/>
  <c r="P12" i="72"/>
  <c r="O13" i="72"/>
  <c r="P13" i="72"/>
  <c r="O14" i="72"/>
  <c r="P14" i="72"/>
  <c r="O16" i="72"/>
  <c r="P16" i="72"/>
  <c r="O19" i="72"/>
  <c r="P19" i="72"/>
  <c r="O20" i="72"/>
  <c r="P20" i="72"/>
  <c r="P21" i="72"/>
  <c r="O27" i="72"/>
  <c r="P27" i="72"/>
  <c r="O33" i="72"/>
  <c r="P33" i="72"/>
  <c r="O35" i="72"/>
  <c r="P35" i="72"/>
  <c r="O39" i="72"/>
  <c r="P39" i="72"/>
  <c r="N8" i="72"/>
  <c r="N9" i="72"/>
  <c r="N10" i="72"/>
  <c r="N11" i="72"/>
  <c r="N13" i="72"/>
  <c r="N14" i="72"/>
  <c r="N16" i="72"/>
  <c r="N19" i="72"/>
  <c r="N20" i="72"/>
  <c r="N27" i="72"/>
  <c r="N35" i="72"/>
  <c r="E51" i="83"/>
  <c r="D51" i="83"/>
  <c r="C51" i="83"/>
  <c r="F43" i="83"/>
  <c r="F42" i="83"/>
  <c r="F41" i="83"/>
  <c r="E40" i="83"/>
  <c r="D40" i="83"/>
  <c r="C40" i="83"/>
  <c r="E29" i="83"/>
  <c r="D29" i="83"/>
  <c r="F25" i="83"/>
  <c r="F21" i="83"/>
  <c r="F20" i="83"/>
  <c r="F19" i="83"/>
  <c r="E18" i="83"/>
  <c r="D18" i="83"/>
  <c r="C18" i="83"/>
  <c r="F10" i="83"/>
  <c r="D26" i="73"/>
  <c r="C26" i="73"/>
  <c r="F17" i="73"/>
  <c r="F16" i="73"/>
  <c r="E15" i="73"/>
  <c r="D15" i="73"/>
  <c r="F11" i="73"/>
  <c r="F9" i="73"/>
  <c r="F7" i="73"/>
  <c r="F6" i="73"/>
  <c r="F5" i="73"/>
  <c r="E21" i="71"/>
  <c r="E19" i="71"/>
  <c r="E18" i="71"/>
  <c r="E15" i="71"/>
  <c r="E14" i="71"/>
  <c r="E13" i="71"/>
  <c r="E12" i="71"/>
  <c r="E11" i="71"/>
  <c r="E10" i="71"/>
  <c r="E9" i="71"/>
  <c r="I13" i="71"/>
  <c r="I11" i="71"/>
  <c r="I10" i="71"/>
  <c r="I9" i="71"/>
  <c r="M18" i="71"/>
  <c r="M10" i="71"/>
  <c r="M11" i="71"/>
  <c r="M9" i="71"/>
  <c r="L16" i="71"/>
  <c r="L22" i="71"/>
  <c r="H22" i="71"/>
  <c r="D22" i="71"/>
  <c r="P24" i="71"/>
  <c r="P21" i="71"/>
  <c r="P20" i="71"/>
  <c r="P19" i="71"/>
  <c r="P18" i="71"/>
  <c r="P15" i="71"/>
  <c r="P14" i="71"/>
  <c r="P13" i="71"/>
  <c r="P12" i="71"/>
  <c r="P11" i="71"/>
  <c r="P10" i="71"/>
  <c r="P9" i="71"/>
  <c r="C22" i="71"/>
  <c r="J15" i="72"/>
  <c r="F37" i="72"/>
  <c r="J37" i="72"/>
  <c r="B37" i="72"/>
  <c r="F15" i="72"/>
  <c r="F7" i="72"/>
  <c r="J7" i="72"/>
  <c r="B7" i="72"/>
  <c r="K16" i="71"/>
  <c r="N19" i="71"/>
  <c r="N20" i="71"/>
  <c r="N21" i="71"/>
  <c r="O19" i="71"/>
  <c r="O20" i="71"/>
  <c r="O21" i="71"/>
  <c r="O24" i="71"/>
  <c r="O18" i="71"/>
  <c r="O9" i="71"/>
  <c r="O10" i="71"/>
  <c r="O11" i="71"/>
  <c r="O12" i="71"/>
  <c r="O13" i="71"/>
  <c r="O14" i="71"/>
  <c r="O15" i="71"/>
  <c r="F22" i="71"/>
  <c r="G22" i="71"/>
  <c r="J22" i="71"/>
  <c r="K22" i="71"/>
  <c r="B22" i="71"/>
  <c r="B26" i="71" s="1"/>
  <c r="N18" i="71"/>
  <c r="N13" i="71"/>
  <c r="N15" i="71"/>
  <c r="N24" i="71"/>
  <c r="N10" i="71"/>
  <c r="N11" i="71"/>
  <c r="N12" i="71"/>
  <c r="N14" i="71"/>
  <c r="N9" i="71"/>
  <c r="I19" i="151"/>
  <c r="J20" i="163"/>
  <c r="L29" i="163"/>
  <c r="P29" i="163" s="1"/>
  <c r="I22" i="71"/>
  <c r="G30" i="154"/>
  <c r="F446" i="165"/>
  <c r="F449" i="165"/>
  <c r="J28" i="154"/>
  <c r="K20" i="163"/>
  <c r="H37" i="163"/>
  <c r="O38" i="163"/>
  <c r="D24" i="134"/>
  <c r="D28" i="134" s="1"/>
  <c r="D29" i="134" s="1"/>
  <c r="P9" i="163"/>
  <c r="F442" i="165"/>
  <c r="F444" i="165"/>
  <c r="D15" i="132" l="1"/>
  <c r="D23" i="132" s="1"/>
  <c r="D25" i="132" s="1"/>
  <c r="F26" i="165"/>
  <c r="F32" i="159"/>
  <c r="F261" i="162"/>
  <c r="F289" i="162"/>
  <c r="F96" i="162"/>
  <c r="M16" i="71"/>
  <c r="D22" i="133"/>
  <c r="D15" i="133"/>
  <c r="B30" i="154"/>
  <c r="Q19" i="72"/>
  <c r="F58" i="83"/>
  <c r="F52" i="83"/>
  <c r="F40" i="73"/>
  <c r="F238" i="165"/>
  <c r="F283" i="165"/>
  <c r="F115" i="165"/>
  <c r="F151" i="162"/>
  <c r="H40" i="72"/>
  <c r="F39" i="73"/>
  <c r="F294" i="165"/>
  <c r="F215" i="165"/>
  <c r="F204" i="165"/>
  <c r="F70" i="165"/>
  <c r="H26" i="71"/>
  <c r="E42" i="157"/>
  <c r="F49" i="158"/>
  <c r="F77" i="162"/>
  <c r="N31" i="163"/>
  <c r="P31" i="163"/>
  <c r="N42" i="163"/>
  <c r="Q44" i="163"/>
  <c r="C37" i="163"/>
  <c r="C36" i="163" s="1"/>
  <c r="D26" i="132"/>
  <c r="D27" i="132" s="1"/>
  <c r="H34" i="163"/>
  <c r="P7" i="72"/>
  <c r="D40" i="72"/>
  <c r="C44" i="72" s="1"/>
  <c r="C26" i="71"/>
  <c r="F40" i="83"/>
  <c r="G34" i="163"/>
  <c r="J26" i="71"/>
  <c r="Q21" i="71"/>
  <c r="J40" i="72"/>
  <c r="P22" i="71"/>
  <c r="P37" i="72"/>
  <c r="I16" i="71"/>
  <c r="P20" i="163"/>
  <c r="N9" i="163"/>
  <c r="K26" i="71"/>
  <c r="Q39" i="163"/>
  <c r="H19" i="152"/>
  <c r="H24" i="152" s="1"/>
  <c r="E38" i="163"/>
  <c r="Q21" i="72"/>
  <c r="F24" i="157"/>
  <c r="C50" i="158"/>
  <c r="F350" i="165"/>
  <c r="F372" i="165"/>
  <c r="F395" i="165"/>
  <c r="F159" i="165"/>
  <c r="F361" i="165"/>
  <c r="F59" i="165"/>
  <c r="F384" i="165"/>
  <c r="F81" i="165"/>
  <c r="F193" i="165"/>
  <c r="F440" i="165"/>
  <c r="F182" i="165"/>
  <c r="F227" i="165"/>
  <c r="F148" i="165"/>
  <c r="F137" i="165"/>
  <c r="F447" i="165"/>
  <c r="F93" i="165"/>
  <c r="F48" i="165"/>
  <c r="F439" i="165"/>
  <c r="F271" i="165"/>
  <c r="F327" i="165"/>
  <c r="F37" i="165"/>
  <c r="F441" i="165"/>
  <c r="F15" i="165"/>
  <c r="F31" i="162"/>
  <c r="F298" i="162"/>
  <c r="F252" i="162"/>
  <c r="F302" i="162"/>
  <c r="F224" i="162"/>
  <c r="F142" i="162"/>
  <c r="F22" i="162"/>
  <c r="F68" i="162"/>
  <c r="F13" i="162"/>
  <c r="F169" i="162"/>
  <c r="F300" i="162"/>
  <c r="F306" i="162"/>
  <c r="F40" i="162"/>
  <c r="F307" i="162"/>
  <c r="J30" i="154"/>
  <c r="J16" i="154"/>
  <c r="E28" i="154"/>
  <c r="C30" i="154"/>
  <c r="E16" i="154"/>
  <c r="P23" i="163"/>
  <c r="N37" i="72"/>
  <c r="Q35" i="72"/>
  <c r="Q27" i="72"/>
  <c r="Q25" i="72"/>
  <c r="O37" i="72"/>
  <c r="E37" i="72"/>
  <c r="Q26" i="72"/>
  <c r="Q20" i="72"/>
  <c r="Q38" i="72"/>
  <c r="Q39" i="72"/>
  <c r="Q23" i="72"/>
  <c r="B40" i="72"/>
  <c r="Q28" i="72"/>
  <c r="E15" i="72"/>
  <c r="Q33" i="72"/>
  <c r="Q30" i="72"/>
  <c r="Q31" i="72"/>
  <c r="Q14" i="72"/>
  <c r="E7" i="72"/>
  <c r="E22" i="71"/>
  <c r="Q15" i="71"/>
  <c r="Q9" i="71"/>
  <c r="E16" i="71"/>
  <c r="D26" i="71"/>
  <c r="Q43" i="163"/>
  <c r="B37" i="163"/>
  <c r="B36" i="163" s="1"/>
  <c r="N36" i="163" s="1"/>
  <c r="N38" i="163"/>
  <c r="E23" i="163"/>
  <c r="Q25" i="163"/>
  <c r="E20" i="163"/>
  <c r="N20" i="163"/>
  <c r="N23" i="163"/>
  <c r="D34" i="163"/>
  <c r="N17" i="163"/>
  <c r="B34" i="163"/>
  <c r="E17" i="163"/>
  <c r="Q10" i="163"/>
  <c r="Q24" i="163"/>
  <c r="Q11" i="163"/>
  <c r="Q27" i="163"/>
  <c r="E42" i="163"/>
  <c r="Q12" i="163"/>
  <c r="J34" i="163"/>
  <c r="P17" i="163"/>
  <c r="Q17" i="163" s="1"/>
  <c r="Q38" i="163"/>
  <c r="D37" i="163"/>
  <c r="D36" i="163" s="1"/>
  <c r="E36" i="163" s="1"/>
  <c r="C8" i="163"/>
  <c r="C34" i="163" s="1"/>
  <c r="Q22" i="163"/>
  <c r="Q13" i="163"/>
  <c r="Q18" i="163"/>
  <c r="Q19" i="163"/>
  <c r="Q9" i="163"/>
  <c r="E9" i="163"/>
  <c r="D26" i="133"/>
  <c r="D27" i="133" s="1"/>
  <c r="F443" i="165"/>
  <c r="D23" i="133"/>
  <c r="N8" i="163"/>
  <c r="I14" i="152"/>
  <c r="I19" i="152" s="1"/>
  <c r="I24" i="152" s="1"/>
  <c r="L26" i="71"/>
  <c r="F15" i="73"/>
  <c r="Q11" i="72"/>
  <c r="I15" i="72"/>
  <c r="M7" i="72"/>
  <c r="F56" i="83"/>
  <c r="D17" i="134"/>
  <c r="D25" i="134" s="1"/>
  <c r="Q30" i="163"/>
  <c r="M37" i="163"/>
  <c r="L34" i="163"/>
  <c r="Q19" i="71"/>
  <c r="P15" i="72"/>
  <c r="F36" i="159"/>
  <c r="P8" i="163"/>
  <c r="N7" i="72"/>
  <c r="Q14" i="71"/>
  <c r="Q20" i="71"/>
  <c r="F15" i="157"/>
  <c r="I20" i="151"/>
  <c r="I25" i="151" s="1"/>
  <c r="L40" i="72"/>
  <c r="M15" i="72"/>
  <c r="N15" i="72"/>
  <c r="Q13" i="72"/>
  <c r="Q12" i="72"/>
  <c r="K40" i="72"/>
  <c r="Q9" i="72"/>
  <c r="O7" i="72"/>
  <c r="O15" i="72"/>
  <c r="Q10" i="72"/>
  <c r="Q8" i="72"/>
  <c r="I7" i="72"/>
  <c r="F40" i="72"/>
  <c r="G40" i="72"/>
  <c r="F38" i="73"/>
  <c r="F26" i="73"/>
  <c r="D48" i="73"/>
  <c r="F44" i="73"/>
  <c r="E48" i="73"/>
  <c r="C48" i="73"/>
  <c r="G26" i="71"/>
  <c r="O26" i="71" s="1"/>
  <c r="Q11" i="71"/>
  <c r="F26" i="71"/>
  <c r="Q12" i="71"/>
  <c r="P16" i="71"/>
  <c r="Q13" i="71"/>
  <c r="F45" i="158"/>
  <c r="E50" i="158"/>
  <c r="F42" i="158"/>
  <c r="D50" i="158"/>
  <c r="F40" i="159"/>
  <c r="F14" i="159"/>
  <c r="C41" i="159"/>
  <c r="E41" i="159"/>
  <c r="D41" i="159"/>
  <c r="F34" i="163"/>
  <c r="H36" i="163"/>
  <c r="G36" i="163"/>
  <c r="I37" i="163"/>
  <c r="F51" i="83"/>
  <c r="F54" i="83"/>
  <c r="C62" i="83"/>
  <c r="F29" i="83"/>
  <c r="D62" i="83"/>
  <c r="F53" i="83"/>
  <c r="E62" i="83"/>
  <c r="F18" i="83"/>
  <c r="Q18" i="71"/>
  <c r="N22" i="71"/>
  <c r="N16" i="71"/>
  <c r="O22" i="71"/>
  <c r="M22" i="71"/>
  <c r="O16" i="71"/>
  <c r="Q10" i="71"/>
  <c r="C42" i="157"/>
  <c r="D42" i="157"/>
  <c r="F41" i="157"/>
  <c r="O42" i="163"/>
  <c r="Q46" i="163"/>
  <c r="K36" i="163"/>
  <c r="M36" i="163" s="1"/>
  <c r="Q16" i="163"/>
  <c r="Q28" i="163"/>
  <c r="E30" i="154" l="1"/>
  <c r="F42" i="157"/>
  <c r="Q7" i="72"/>
  <c r="M26" i="71"/>
  <c r="Q22" i="71"/>
  <c r="O37" i="163"/>
  <c r="Q8" i="163"/>
  <c r="I34" i="163"/>
  <c r="Q20" i="163"/>
  <c r="Q42" i="163"/>
  <c r="Q23" i="163"/>
  <c r="F50" i="158"/>
  <c r="N37" i="163"/>
  <c r="E26" i="71"/>
  <c r="I26" i="71"/>
  <c r="Q37" i="72"/>
  <c r="F450" i="165"/>
  <c r="P26" i="71"/>
  <c r="Q26" i="71" s="1"/>
  <c r="E40" i="72"/>
  <c r="P40" i="72"/>
  <c r="N40" i="72"/>
  <c r="Q15" i="72"/>
  <c r="P36" i="163"/>
  <c r="N34" i="163"/>
  <c r="P34" i="163"/>
  <c r="E34" i="163"/>
  <c r="P37" i="163"/>
  <c r="E8" i="163"/>
  <c r="M34" i="163"/>
  <c r="E37" i="163"/>
  <c r="M40" i="72"/>
  <c r="O40" i="72"/>
  <c r="I40" i="72"/>
  <c r="F48" i="73"/>
  <c r="Q16" i="71"/>
  <c r="F41" i="159"/>
  <c r="I36" i="163"/>
  <c r="F62" i="83"/>
  <c r="N26" i="71"/>
  <c r="O36" i="163"/>
  <c r="Q37" i="163" l="1"/>
  <c r="Q40" i="72"/>
  <c r="Q36" i="163"/>
  <c r="Q34" i="163"/>
</calcChain>
</file>

<file path=xl/sharedStrings.xml><?xml version="1.0" encoding="utf-8"?>
<sst xmlns="http://schemas.openxmlformats.org/spreadsheetml/2006/main" count="3666" uniqueCount="807">
  <si>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</si>
  <si>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</si>
  <si>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</si>
  <si>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</si>
  <si>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</si>
  <si>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</si>
  <si>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</si>
  <si>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</si>
  <si>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</si>
  <si>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</si>
  <si>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</si>
  <si>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</si>
  <si>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</si>
  <si>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</si>
  <si>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</si>
  <si>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</si>
  <si>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</si>
  <si>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</si>
  <si>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</si>
  <si>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</si>
  <si>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</si>
  <si>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>Sor-
szám</t>
  </si>
  <si>
    <t>Bevételi jogcím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</si>
  <si>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</si>
  <si>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</si>
  <si>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</si>
  <si>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</si>
  <si>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</si>
  <si>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</si>
  <si>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</si>
  <si>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</si>
  <si>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</si>
  <si>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</si>
  <si>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</si>
  <si>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</si>
  <si>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</si>
  <si>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Egyeki Szöghatár Nonprofit Kft.</t>
  </si>
  <si>
    <t>25.</t>
  </si>
  <si>
    <t>26.</t>
  </si>
  <si>
    <t>27.</t>
  </si>
  <si>
    <t>Tiszacsege Központi Orvosi Ügyelet</t>
  </si>
  <si>
    <t>Önkormányzati Tűzoltóság</t>
  </si>
  <si>
    <t xml:space="preserve"> </t>
  </si>
  <si>
    <t>Az Önkormányzat Pénzügyi mérlege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</si>
  <si>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</si>
  <si>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</si>
  <si>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</si>
  <si>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</si>
  <si>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</si>
  <si>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</si>
  <si>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</si>
  <si>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</si>
  <si>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</si>
  <si>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</si>
  <si>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</si>
  <si>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B113. Települési önkormányzatok szociális és gyermekjóléti feladatainak támogatása</t>
  </si>
  <si>
    <t>B114. Települési önkormányzatok kulturális feladatainak támogatása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</si>
  <si>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</si>
  <si>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</si>
  <si>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</si>
  <si>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</si>
  <si>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</si>
  <si>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</si>
  <si>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</si>
  <si>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</si>
  <si>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</si>
  <si>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</si>
  <si>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</si>
  <si>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</si>
  <si>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</si>
  <si>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</si>
  <si>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</si>
  <si>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</si>
  <si>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</si>
  <si>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013350 Az önkormányzati vagyonnal való gazdálk-sal kapcs. Feladatok</t>
  </si>
  <si>
    <t>018010 Önkormányzatok elszámolásai a közp-i ktg.vetéssel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</si>
  <si>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</si>
  <si>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</si>
  <si>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</si>
  <si>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</si>
  <si>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</si>
  <si>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</si>
  <si>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</si>
  <si>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</si>
  <si>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</si>
  <si>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</si>
  <si>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</si>
  <si>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</si>
  <si>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</si>
  <si>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</si>
  <si>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</si>
  <si>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</si>
  <si>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</si>
  <si>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</si>
  <si>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</si>
  <si>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</si>
  <si>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K512. Tartalékok</t>
  </si>
  <si>
    <t>K5. Egyéb működési célú kiadások (tartalékok nélkül)</t>
  </si>
  <si>
    <t>K9. Finanszírozási kiadások (működési)</t>
  </si>
  <si>
    <t>K9. Finanszírozási kiadások (felhalmozási)</t>
  </si>
  <si>
    <t>ebből: K915. Központi irányítószervi támogatás folyósítása</t>
  </si>
  <si>
    <t xml:space="preserve">K2. Munkaadókat terhelő járulékok és szociális hozzájárulási adó </t>
  </si>
  <si>
    <t xml:space="preserve">K4. Ellátottak pénzbeli juttatásai </t>
  </si>
  <si>
    <t>K9. Finanszírozási kiadások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</si>
  <si>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</si>
  <si>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</si>
  <si>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</si>
  <si>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</si>
  <si>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K2. Munkaadókat terhelő járulékok és szociális hozzájárulási adó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</si>
  <si>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</si>
  <si>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</si>
  <si>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</si>
  <si>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</si>
  <si>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>K915. Központi irányítószervi támogatás folyósítás</t>
  </si>
  <si>
    <t xml:space="preserve">K9. Finanszírozási kiadások </t>
  </si>
  <si>
    <t xml:space="preserve">   ebből: közfoglalkoztatás</t>
  </si>
  <si>
    <t>Temetési kölcsön</t>
  </si>
  <si>
    <t>Kormányzati funkció</t>
  </si>
  <si>
    <t>044320</t>
  </si>
  <si>
    <t>045120</t>
  </si>
  <si>
    <t>011130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</si>
  <si>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</si>
  <si>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</si>
  <si>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</si>
  <si>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</si>
  <si>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</si>
  <si>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</si>
  <si>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</si>
  <si>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</si>
  <si>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</si>
  <si>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</si>
  <si>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</si>
  <si>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</si>
  <si>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</si>
  <si>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</si>
  <si>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</si>
  <si>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</si>
  <si>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>K512. Tartalékok (működési)</t>
  </si>
  <si>
    <t>K512. Tartalékok (felhalmozási)</t>
  </si>
  <si>
    <t>K5. Egyéb működési célú kiadások(tartalék nélkül)</t>
  </si>
  <si>
    <t xml:space="preserve"> KIADÁSOK ÖSSZESEN: </t>
  </si>
  <si>
    <t xml:space="preserve">K5. Egyéb működési célú kiadások </t>
  </si>
  <si>
    <t>B16. Egyéb működési célú támogatások bevételei államháztartáson belülről</t>
  </si>
  <si>
    <t>B8111. Hosszú lejáratú hitelek, kölcsön felvétele</t>
  </si>
  <si>
    <t>084031 Civil szervezetek támogatása</t>
  </si>
  <si>
    <t>Tárkányi Béla Könyvt.és Műv.H.</t>
  </si>
  <si>
    <t>Önkormányzat</t>
  </si>
  <si>
    <t>Eredeti e.i.</t>
  </si>
  <si>
    <t>Módosított e.i.</t>
  </si>
  <si>
    <t>Tény</t>
  </si>
  <si>
    <t>Teljesítés %-a</t>
  </si>
  <si>
    <t>Bevételi jogcímek</t>
  </si>
  <si>
    <t>Módosítot e.i.</t>
  </si>
  <si>
    <t>Tárkányi Béla Könyvtár és Művelődési Ház</t>
  </si>
  <si>
    <t>Eredei e.i.</t>
  </si>
  <si>
    <t>Eredet e.i.</t>
  </si>
  <si>
    <t>083030 Egyéb kiadói tevékenység</t>
  </si>
  <si>
    <t>Módósított e.i.</t>
  </si>
  <si>
    <t>Tárkányi Béla Könytár és Művelődési ház</t>
  </si>
  <si>
    <t>28.</t>
  </si>
  <si>
    <t>29.</t>
  </si>
  <si>
    <t>30.</t>
  </si>
  <si>
    <t>072210 Járóbetegek gyógyító szakelátása</t>
  </si>
  <si>
    <t>B8113. Rövid lejáratú hitelek, kölcsönök felvétele</t>
  </si>
  <si>
    <t>011130 Önkormányzatok és önkormányzati hivatalok jogalkotói és általános igazg.tevékenysége</t>
  </si>
  <si>
    <t>072210 Járóbeteg gyógyító szakellátás</t>
  </si>
  <si>
    <t>104051 Gyermekvédelmi pénzbeli és természetbeni ellátások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</si>
  <si>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</si>
  <si>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</si>
  <si>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</si>
  <si>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</si>
  <si>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</si>
  <si>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</si>
  <si>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</si>
  <si>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</si>
  <si>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</si>
  <si>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041237</t>
  </si>
  <si>
    <t>K512. Tartalékok ( működési)</t>
  </si>
  <si>
    <t xml:space="preserve">   ebből: választott tisztségviselők juttatásai </t>
  </si>
  <si>
    <t>Egyek Nagyközség Önkormányzata</t>
  </si>
  <si>
    <t>Megnevezés</t>
  </si>
  <si>
    <t>Összeg:</t>
  </si>
  <si>
    <t>Az állami támogatásokkal és hozzájárulásokkal, valamint az egyéb állami pénzalapokkal kapcsolatos elszámolások</t>
  </si>
  <si>
    <t>Visszafizetési kötelezettség</t>
  </si>
  <si>
    <t>adatok forintban</t>
  </si>
  <si>
    <t>Költségvetési törvény alapján feladatellátás támogatása</t>
  </si>
  <si>
    <t>Támogatás összesen:</t>
  </si>
  <si>
    <t>Többéves kihatással járó döntésekből származó kötelezettségek célok szerint évenkénti bontásban</t>
  </si>
  <si>
    <t>Kötelezettség jogcíme</t>
  </si>
  <si>
    <t>Köt. váll.
 éve</t>
  </si>
  <si>
    <t>Kiadás vonzata évenként</t>
  </si>
  <si>
    <t>Működési célú hiteltörlesztés (tőke+kamat)</t>
  </si>
  <si>
    <t>1.1.</t>
  </si>
  <si>
    <t>2013.</t>
  </si>
  <si>
    <t>-</t>
  </si>
  <si>
    <t>Felhalmozási célú hiteltörlesztés (tőke+kamat)</t>
  </si>
  <si>
    <t>2.1.</t>
  </si>
  <si>
    <t>2.2.</t>
  </si>
  <si>
    <t>2.3.</t>
  </si>
  <si>
    <t>2.5.</t>
  </si>
  <si>
    <t>2.6.</t>
  </si>
  <si>
    <t>2012.</t>
  </si>
  <si>
    <t>Beruházás feladatonként</t>
  </si>
  <si>
    <t>3.1.</t>
  </si>
  <si>
    <t>3.2.</t>
  </si>
  <si>
    <t>3.3.</t>
  </si>
  <si>
    <t>3.4.</t>
  </si>
  <si>
    <t>3.5.</t>
  </si>
  <si>
    <t>Egyéb</t>
  </si>
  <si>
    <t>4.1.</t>
  </si>
  <si>
    <t>4.2.</t>
  </si>
  <si>
    <t>4.5.</t>
  </si>
  <si>
    <t>4.6.</t>
  </si>
  <si>
    <t>Sebészeti szakrendeléshez eszközbérlet</t>
  </si>
  <si>
    <t>4.7.</t>
  </si>
  <si>
    <t>Szemészeti szakrendeléshez eszközbérlet</t>
  </si>
  <si>
    <t>4.8.</t>
  </si>
  <si>
    <t>Általános jogi tanácsadás</t>
  </si>
  <si>
    <t>4.9.</t>
  </si>
  <si>
    <t>4.10.</t>
  </si>
  <si>
    <t>4.11.</t>
  </si>
  <si>
    <t>4.13.</t>
  </si>
  <si>
    <t>2006.</t>
  </si>
  <si>
    <t>4.14.</t>
  </si>
  <si>
    <t>4.15.</t>
  </si>
  <si>
    <t>Népességnyilvántartó rendszer</t>
  </si>
  <si>
    <t>4.16.</t>
  </si>
  <si>
    <t>Polgármesteri Hivatal internet szolgáltatás</t>
  </si>
  <si>
    <t>4.17.</t>
  </si>
  <si>
    <t>4.18.</t>
  </si>
  <si>
    <t>Tűzjelző rendszer karbantartási szolgáltatás</t>
  </si>
  <si>
    <t>Adó és számviteli tanácsadás tagdíj</t>
  </si>
  <si>
    <t>4.20.</t>
  </si>
  <si>
    <t>Önkormányzati fizetési meghagyások elektronikus rendszer éves díj</t>
  </si>
  <si>
    <t>4.21.</t>
  </si>
  <si>
    <t>Egészségházban kártevőírtás szolgáltatás</t>
  </si>
  <si>
    <t>4.22.</t>
  </si>
  <si>
    <t>Sorszám</t>
  </si>
  <si>
    <t>Nem lejárt</t>
  </si>
  <si>
    <t>Lejárat</t>
  </si>
  <si>
    <t>1-90 nap között</t>
  </si>
  <si>
    <t>91-180 nap között</t>
  </si>
  <si>
    <t>181-360 nap között</t>
  </si>
  <si>
    <t>360 napon túli</t>
  </si>
  <si>
    <t>Összes lejárt tartozás</t>
  </si>
  <si>
    <t>Tartozás minösszsen</t>
  </si>
  <si>
    <t>8.=(4+…+7)</t>
  </si>
  <si>
    <t>9.=(3+8)</t>
  </si>
  <si>
    <t>( kedvezmények)</t>
  </si>
  <si>
    <t>Kedvezmény nélkül elérhető bevétel</t>
  </si>
  <si>
    <t>Kedvezmények összege</t>
  </si>
  <si>
    <t>Ellátottak térítési díjának elengedése</t>
  </si>
  <si>
    <t>Ellátottak kártérítésének elengedése</t>
  </si>
  <si>
    <t>Lakosság részére lakásépítéshez nyújtott kölcsön elengedése</t>
  </si>
  <si>
    <t>Lakosság részére lakásfelújításhoz nyújtott kölcsön elengedése</t>
  </si>
  <si>
    <t>…………..-ból biztosított kedvezmény, mentesség*</t>
  </si>
  <si>
    <t>Gépjárműadóból biztosított kedvezmény, mentesség 1991.évi LXXXII.tv.5§.</t>
  </si>
  <si>
    <t>Eszközök hasznosítása utáni kedvezmény, menteség</t>
  </si>
  <si>
    <t>Egyéb kedvezmény</t>
  </si>
  <si>
    <t>Egyéb kölcsön elengedése</t>
  </si>
  <si>
    <t>Kommunális adó kedvezmény:</t>
  </si>
  <si>
    <t xml:space="preserve"> 15.1.</t>
  </si>
  <si>
    <t xml:space="preserve">Időskorúak járadékában részesülők/Egyek Nagyközség Önkormányzat Képviselő Testületének 11/2007(III.29) sz. rendelet 5§(1)a.) </t>
  </si>
  <si>
    <t xml:space="preserve"> 70 éven felüliek/ Egyek Nagyközség Önkormányzat Képviselő Testületének 11/2007(III.29) sz. rendelet 5§(1)b.)</t>
  </si>
  <si>
    <t xml:space="preserve"> 15.2.</t>
  </si>
  <si>
    <t xml:space="preserve"> Készenléti szolgálatot ellátó önkéntes tűzoltók / Egyek Nagyközség Önkormányzat Képviselő Testületének 11/2007(III.29) sz. rendelet 5§(1)c.)</t>
  </si>
  <si>
    <t>18. életévet be nem töltött magánszemélyek / Egyek Nagyközség Önkormányzat Képviselő Testületének 11/2007. (III.29.) sz. rendelet 5.§. (1) d.)</t>
  </si>
  <si>
    <t>Talajterhelési díj kedvezmény:</t>
  </si>
  <si>
    <t>*</t>
  </si>
  <si>
    <t>A helyi adókból biztosított kedvezményeket, mentességeket, adónemenként kell feltüntetni.</t>
  </si>
  <si>
    <t xml:space="preserve">Összeg </t>
  </si>
  <si>
    <t>ebből: Bankszámlák egyenlege</t>
  </si>
  <si>
    <t>Pénztárak és betétkönyvek egyenlege</t>
  </si>
  <si>
    <t>Bevételek:</t>
  </si>
  <si>
    <t>Kiadások:</t>
  </si>
  <si>
    <t>Záró pénzkészlet</t>
  </si>
  <si>
    <t xml:space="preserve">             </t>
  </si>
  <si>
    <t>VAGYONKIMUTATÁS</t>
  </si>
  <si>
    <t>a könyvviteli mérlegben értékkel szereplő eszközökről</t>
  </si>
  <si>
    <t>ESZKÖZÖK</t>
  </si>
  <si>
    <t>Bruttó</t>
  </si>
  <si>
    <t xml:space="preserve">Könyv szerinti 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</si>
  <si>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</si>
  <si>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</si>
  <si>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</si>
  <si>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</si>
  <si>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</si>
  <si>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</si>
  <si>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</si>
  <si>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</si>
  <si>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</si>
  <si>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2014.</t>
  </si>
  <si>
    <t>I. Készletek</t>
  </si>
  <si>
    <t>II. Értékpapírok</t>
  </si>
  <si>
    <t>Adósságállomány eszközök szerint</t>
  </si>
  <si>
    <t>I. Belföldi hitelezők</t>
  </si>
  <si>
    <t>Adóhatósággal szembeni tartozás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</si>
  <si>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</si>
  <si>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</si>
  <si>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</si>
  <si>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</si>
  <si>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</si>
  <si>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</si>
  <si>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</si>
  <si>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</si>
  <si>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</si>
  <si>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</t>
  </si>
  <si>
    <t>Adósságállomány mindösszesen:</t>
  </si>
  <si>
    <t>B</t>
  </si>
  <si>
    <t>09.</t>
  </si>
  <si>
    <t>Használatban lévő kisértékű immateriális javak</t>
  </si>
  <si>
    <t>Használatban lévő kisértékű tárgyi eszközök</t>
  </si>
  <si>
    <t>Készletek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</si>
  <si>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</si>
  <si>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</si>
  <si>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</si>
  <si>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</si>
  <si>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</si>
  <si>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</si>
  <si>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</si>
  <si>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</si>
  <si>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</si>
  <si>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</si>
  <si>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</si>
  <si>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* Nvt. 1. § (2) bekezdés g) és h) pontja szerinti kulturális javak és régészeti eszközök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</si>
  <si>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</si>
  <si>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</si>
  <si>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</si>
  <si>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</si>
  <si>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</si>
  <si>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Kiadások</t>
  </si>
  <si>
    <t>Bevételek</t>
  </si>
  <si>
    <t>Müködési kiadások</t>
  </si>
  <si>
    <t>Működési bevételek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</si>
  <si>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</si>
  <si>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</si>
  <si>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</si>
  <si>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</si>
  <si>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</si>
  <si>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</si>
  <si>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</si>
  <si>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Telj. %-a</t>
  </si>
  <si>
    <t>Alaptevékenység költségvetési bevételei</t>
  </si>
  <si>
    <t>Alaptevékenység költségvetési kiadásai</t>
  </si>
  <si>
    <t>I. Alaptevékenység költségvetési egyenlege</t>
  </si>
  <si>
    <t>Alaptevékenység finanszírozás bevételei</t>
  </si>
  <si>
    <t>Alaptevékenység finanszírozás kiadásai</t>
  </si>
  <si>
    <t>II. Alaptevékenység finanszírozási egyenlege</t>
  </si>
  <si>
    <t>A) Alaptevékenység maradványa ( I+-II)</t>
  </si>
  <si>
    <t>Vállalkozási tevékenység költségvetési bevételei</t>
  </si>
  <si>
    <t>Vállalkozási tevékenység költségvetési kaidásai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</si>
  <si>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</si>
  <si>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</si>
  <si>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</si>
  <si>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</si>
  <si>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 (III+-IV)</t>
  </si>
  <si>
    <t>C) Összese maradvány ( A+B)</t>
  </si>
  <si>
    <t>D)Alaptevékenység kötelezettségvállalással terh. Maradványa</t>
  </si>
  <si>
    <t>E) Alaptevékenység szabad maradványa</t>
  </si>
  <si>
    <t>F) Vállalkozási tevékenységet terhelő befizetési kötelezettség ( B*0,1)</t>
  </si>
  <si>
    <t>G)Vállalkozási tevékenység felhasználható maradványa</t>
  </si>
  <si>
    <t>018030 Támogatási célú finanszírozási  műveletek</t>
  </si>
  <si>
    <t>018030 Támogatási célú finanszírozási műveletek</t>
  </si>
  <si>
    <t>Kiadások 2.sz. melléklet alapján:</t>
  </si>
  <si>
    <t>Kiadások 2. sz. melléklet alapján:</t>
  </si>
  <si>
    <t>Települési önkormányzatok nyilvános könyvtári és közművelődési feladatainak támogatása</t>
  </si>
  <si>
    <t xml:space="preserve">Egyes szociális és gyermekjóléti feladatok támogatása / Tanyagondnoki feladatok ellátása/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</si>
  <si>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</si>
  <si>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</si>
  <si>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</si>
  <si>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1.2. Nemzetgazdasági szempontból kiemelt jelentőségű ingatlanok és kapcsolódó 
      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</si>
  <si>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</si>
  <si>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</si>
  <si>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</si>
  <si>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</si>
  <si>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</si>
  <si>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</si>
  <si>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</si>
  <si>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</si>
  <si>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</si>
  <si>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</si>
  <si>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</si>
  <si>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</si>
  <si>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</si>
  <si>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</si>
  <si>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</si>
  <si>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</si>
  <si>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</si>
  <si>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</si>
  <si>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</si>
  <si>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</si>
  <si>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</si>
  <si>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</si>
  <si>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</si>
  <si>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</si>
  <si>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</si>
  <si>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</si>
  <si>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</si>
  <si>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</si>
  <si>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</si>
  <si>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</si>
  <si>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</si>
  <si>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</si>
  <si>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</si>
  <si>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</si>
  <si>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</si>
  <si>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</si>
  <si>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</si>
  <si>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</si>
  <si>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</si>
  <si>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</si>
  <si>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</si>
  <si>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</si>
  <si>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</si>
  <si>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</si>
  <si>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</si>
  <si>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</si>
  <si>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46.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</si>
  <si>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</si>
  <si>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</si>
  <si>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</si>
  <si>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</si>
  <si>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</si>
  <si>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</si>
  <si>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</si>
  <si>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</si>
  <si>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</si>
  <si>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</si>
  <si>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</si>
  <si>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53.</t>
  </si>
  <si>
    <t>54.</t>
  </si>
  <si>
    <t>62.</t>
  </si>
  <si>
    <t>Hortobágyi LEADER Nonprofit Kft.</t>
  </si>
  <si>
    <t>Érték vesztés összege</t>
  </si>
  <si>
    <t>Működésből származó követelések összege XII.31-én ( Ft-ban)</t>
  </si>
  <si>
    <t>013350</t>
  </si>
  <si>
    <t>K1. Személyi jellegű juttatások</t>
  </si>
  <si>
    <t>B1. Működési c.támogatások áh.belülről</t>
  </si>
  <si>
    <t>K3.Dologi kiadások</t>
  </si>
  <si>
    <t>K5.Egyéb működési célú kiadások</t>
  </si>
  <si>
    <t>ebből: tartalék (működési)</t>
  </si>
  <si>
    <t>B8. Finanszírozási bevételek (működési)</t>
  </si>
  <si>
    <t>B2. Felhalmozási c.támogatások áh.belülről</t>
  </si>
  <si>
    <t>K8. Egyéb felhalmozási c.kiadások</t>
  </si>
  <si>
    <t>B7. Felhalmozási célú átvett pénzeszköz</t>
  </si>
  <si>
    <t>B8. Finanszírozási bevételek (felhalmozási)</t>
  </si>
  <si>
    <t>K512. Tartalék (felhalmozási)</t>
  </si>
  <si>
    <t>ebből:felhalmozási célú hitelfelvétel</t>
  </si>
  <si>
    <t>B814. Államháztartáson belüli megelőlegezések</t>
  </si>
  <si>
    <t>B814 Államháztartáson belüli megelőlegezések</t>
  </si>
  <si>
    <t>5</t>
  </si>
  <si>
    <t>3</t>
  </si>
  <si>
    <t>6</t>
  </si>
  <si>
    <t>7</t>
  </si>
  <si>
    <t>C) PÉNZESZKÖZÖK (49+50+51+52+53)</t>
  </si>
  <si>
    <t>„0”-ra leírt eszközök:</t>
  </si>
  <si>
    <t xml:space="preserve">                            ingatlanok</t>
  </si>
  <si>
    <r>
      <t xml:space="preserve">              </t>
    </r>
    <r>
      <rPr>
        <sz val="8"/>
        <rFont val="Times New Roman"/>
        <family val="1"/>
        <charset val="238"/>
      </rPr>
      <t xml:space="preserve">  ebből:  immateriális javak</t>
    </r>
  </si>
  <si>
    <t>Gyűjtemény, régészeti lelet* (18…+21)</t>
  </si>
  <si>
    <t> 02 számlacsoportban nyilvántartott készletek (14+…+16)</t>
  </si>
  <si>
    <t>01 számlacsoportban nyilvántartott befektetett eszközök (9…+12)</t>
  </si>
  <si>
    <t xml:space="preserve">                            gépek, berendezések felszerelések, járművek</t>
  </si>
  <si>
    <t>Összesen (1+5+6+7+8+13+17):</t>
  </si>
  <si>
    <t>Mérlegben kimutatandó érték</t>
  </si>
  <si>
    <t>4</t>
  </si>
  <si>
    <t>B115 Működési célú költségvetési támogatások és kiegészítő támogatások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</si>
  <si>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</si>
  <si>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</si>
  <si>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 xml:space="preserve">B8112 Likvidítási célú hitelek,kölcsönök felvétele </t>
  </si>
  <si>
    <t>K914 Államháztartáson belüli megelőlegezések visszafizetése</t>
  </si>
  <si>
    <t>B115. Működési célú költségvetési támogatások és kiegészítő támogatások</t>
  </si>
  <si>
    <t>B75. Egyéb felhalmozási célú átvett pénzeszközök</t>
  </si>
  <si>
    <t>K9 Finanszírozási kiadások (működési)</t>
  </si>
  <si>
    <t>Múzeális intézmények szakmai támogatása</t>
  </si>
  <si>
    <t>041233 Hosszabb időtartamú közfoglalkoztatás</t>
  </si>
  <si>
    <t>044320 Építőipar támogatása</t>
  </si>
  <si>
    <t>066020 Város -, községgazdálkodási egyéb szolgáltatások</t>
  </si>
  <si>
    <t>107055  Falugondnoki,tanyagondnoki szolgáltatás</t>
  </si>
  <si>
    <t>900020 Önkormányzatok funkcióra nem sorolható bevételei</t>
  </si>
  <si>
    <t>107060 Egyéb szociális pénzbeli és természetbeni ellátások támogatások</t>
  </si>
  <si>
    <t>106010 Lakóingatlan szociális célú bérbeadása,üzemeltetése</t>
  </si>
  <si>
    <t>011130 Önkormányzatok és önkormányzati hivatalok jogalkotó és általános igazgatási tevékenysége</t>
  </si>
  <si>
    <t>013320 Köztemető-fenntartás és - működtetés</t>
  </si>
  <si>
    <t>045160 Közutak,hidak,alagutak üzemeltetése fenntartása</t>
  </si>
  <si>
    <t>051040 Nem veszélyes hulladék kezelése,ártalmatlanítása</t>
  </si>
  <si>
    <t>052020 Szennyvíz gyűjtése,tisztítása,elhelyezése</t>
  </si>
  <si>
    <t>066020 Város-,közsséggazdálkodási egyéb szolgáltatások</t>
  </si>
  <si>
    <t>082091 Közművelődés-közösségi és társadalmi részvétel fejlesztése</t>
  </si>
  <si>
    <t>104060 A gyermek és fiatal családok életmin. Javító programok</t>
  </si>
  <si>
    <t>106010 Lakóingatlan szociális célú bérbeadása üzemeltetése</t>
  </si>
  <si>
    <t>107060 Egyéb szociális pénzbeli és természetbeni ellátások,támogatások</t>
  </si>
  <si>
    <t>900020 Önkormányzatok funkcióra nem sorolható bevételei államháztartáson kívülről</t>
  </si>
  <si>
    <t>Települési önkormányzatok szociális feladatainak egyéb támogatása</t>
  </si>
  <si>
    <t>Települési önkormányzatok működésének támogatása</t>
  </si>
  <si>
    <t>2015.</t>
  </si>
  <si>
    <t>Nemezeti Vagyonba tartozó befektetett eszközök, forgóeszközök és pénzeszközök  összesen: (45+48+53)</t>
  </si>
  <si>
    <t>NHSZ Tisza Nonprofit Kft.</t>
  </si>
  <si>
    <t>Tiszamenti Regionális Vízművek Zrt.</t>
  </si>
  <si>
    <t>Költségvetési kiadások összesen</t>
  </si>
  <si>
    <t>Költségvetési bevételek összesen</t>
  </si>
  <si>
    <t>7.1. számú melléklet a Zárszámadási rendelet 8. §-ához</t>
  </si>
  <si>
    <t>7. 2. számú melléklet a Zárszámadási rendelet 8. §-ához</t>
  </si>
  <si>
    <t>7.3. számú melléklet a Zárszámadási rendelet 8. §-ához</t>
  </si>
  <si>
    <t>12.1 számú melléklet a Zárszámadási rendelet 13. §-ához</t>
  </si>
  <si>
    <t>12. 2. számú melléklet a Zárszámadási rendelet 13. §-ához</t>
  </si>
  <si>
    <t>12.3. számú melléklet a Zárszámadási rendelet 13. §-ához</t>
  </si>
  <si>
    <t>13. számú melléklet a Zárszámadási rendelet 14. §-ához</t>
  </si>
  <si>
    <t>14. 1. számú melléklet a Zárszámadási rendelet 15. §-ához</t>
  </si>
  <si>
    <t>14. 2. számú melléklet a Zárszámadási rendelet 15. §-ához</t>
  </si>
  <si>
    <t>14 .3.  számú melléklet a Zárszámadási rendelet 15. §-ához</t>
  </si>
  <si>
    <t>Egyeki Polgármesteri Hivatal</t>
  </si>
  <si>
    <t xml:space="preserve">Egyeki Polgármesteri Hivatal </t>
  </si>
  <si>
    <t>Gyepmesteri telep állategészségügyi ellátás</t>
  </si>
  <si>
    <t>4.12.</t>
  </si>
  <si>
    <t>3.6.</t>
  </si>
  <si>
    <t>"Egyek bel-és külterületi csapadékelvezető rendszer rekonstrukciója" fejlesztési célú hitel</t>
  </si>
  <si>
    <t>Zúzott kő vásárlás fejlesztési célú hitel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</si>
  <si>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</si>
  <si>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Alacsony vételárú ingatlanok megvásárlása fejlesztési célú hitel</t>
  </si>
  <si>
    <t>2019.</t>
  </si>
  <si>
    <t>2018.</t>
  </si>
  <si>
    <t>2017.</t>
  </si>
  <si>
    <t>2016.</t>
  </si>
  <si>
    <t>Bevételek 1. számú melléklet alapján előző évi pénzmaradvány nélkül:</t>
  </si>
  <si>
    <t>adatok forinban</t>
  </si>
  <si>
    <t>B14 Működési célú visszatérítendő támogatások kölcsönök visszatérülése áh.belülről</t>
  </si>
  <si>
    <t>B116 Elszámolásból származó bevételek</t>
  </si>
  <si>
    <t>B311 Magánszemélyek jövedelemadói</t>
  </si>
  <si>
    <t>adatok foritban</t>
  </si>
  <si>
    <t>adatok  forintban</t>
  </si>
  <si>
    <t xml:space="preserve">adatok forintban </t>
  </si>
  <si>
    <t>Kötelezettség jellegű sajátos elszámolások</t>
  </si>
  <si>
    <t>Követelés jellegű sajátos elszámolások</t>
  </si>
  <si>
    <t>Kötelezettség jellegű sajátos elszámolás</t>
  </si>
  <si>
    <t xml:space="preserve">Bevételek 1. sz. melléklet alapján előző évi pénzmaradvány nélkül: </t>
  </si>
  <si>
    <t>ebből:maradvány igénybevétele</t>
  </si>
  <si>
    <t>042180 Állat-egészségügy</t>
  </si>
  <si>
    <t>052020  Szennyvíz gyűjtése,tisztítása,elhelyezése</t>
  </si>
  <si>
    <t>074051 Nem fertőző megbetegedések megelőzése</t>
  </si>
  <si>
    <t>082091 Közművelődés-közöségi és társadalmi részvétel fejlesztése</t>
  </si>
  <si>
    <t>086030 Nemzetközi kulturális együttműködés</t>
  </si>
  <si>
    <t>104037 Intézményen kívüli gyermekétkeztetés</t>
  </si>
  <si>
    <t>042180</t>
  </si>
  <si>
    <t>052020</t>
  </si>
  <si>
    <t>064010</t>
  </si>
  <si>
    <t>2020.</t>
  </si>
  <si>
    <t>Műfüves labdarugópálya kiépítése Egyeken</t>
  </si>
  <si>
    <t>Könyvvizsgálati díj</t>
  </si>
  <si>
    <t>2011.</t>
  </si>
  <si>
    <t>B116. Elszámolásból származó bevételek</t>
  </si>
  <si>
    <t>B14. Működési célú visszatérítendő támogatások, kölcsönök visszatérülése áh-n belülről</t>
  </si>
  <si>
    <t>B31. Magánszemélyek jövedelemadói</t>
  </si>
  <si>
    <t>Kétöklű Szociális Szövetkezet</t>
  </si>
  <si>
    <t>Hitelszerződés száma</t>
  </si>
  <si>
    <t>Kölcsönszerződés szerinti összeg</t>
  </si>
  <si>
    <t>További évek törlésztőrészlet</t>
  </si>
  <si>
    <t>12114/3</t>
  </si>
  <si>
    <t>Zúzott kő finanszírozása</t>
  </si>
  <si>
    <t>12114/10</t>
  </si>
  <si>
    <t>Beton elem előregyártó csarnok pályázathoz kapcsolódó kiviteli terv készítése</t>
  </si>
  <si>
    <t>12114/7</t>
  </si>
  <si>
    <t>Műfüves labdarugópálya pályázati tervdokumentáció elkészítésének finanszírozása</t>
  </si>
  <si>
    <t>12114/11</t>
  </si>
  <si>
    <t>Alacsony vételárú ingatlanok megvásárlása</t>
  </si>
  <si>
    <t>12114/8</t>
  </si>
  <si>
    <t>Horgászturizmushoz kapcsolódó pihenőpark kialakítása önerő fedezet</t>
  </si>
  <si>
    <t>70112115/15</t>
  </si>
  <si>
    <t>701330062016</t>
  </si>
  <si>
    <t>70112115/18</t>
  </si>
  <si>
    <t>70112115/19</t>
  </si>
  <si>
    <t>B36. Egyéb közhatalmi bevételek (bírság, pótlék, mezőőri díj, ebrendészeti hj.)</t>
  </si>
  <si>
    <t>Egyek Nagyközség Önkormányzat Felújítási kiadásai célonként</t>
  </si>
  <si>
    <t>Széchenyi program keretében vásárolt lakások felújítása</t>
  </si>
  <si>
    <t>Viziközmű vagyon fejlesztés</t>
  </si>
  <si>
    <t>051040 Nem veszélyes hulladék kezelése, ártalmatlanítása</t>
  </si>
  <si>
    <t>084031 Civil szervezetek működési támogatása</t>
  </si>
  <si>
    <t>045120 Út, autópálya építés</t>
  </si>
  <si>
    <t>082063 Múzeumi kiállítási tevékenység</t>
  </si>
  <si>
    <t>11.1</t>
  </si>
  <si>
    <t>11.2</t>
  </si>
  <si>
    <t>Helyiségek hasznosítása utáni kedvezmény, menteség terembéreleti díj összegét megállapító határozat alapján</t>
  </si>
  <si>
    <t>Egyek Nagyközség Önkormányzatata és az Egyeki Szöghatár Nonprofit Kft. között 2014. február 18.-án kelt 1617/2014. iktatószámú megállapodás alapján /Konyha helyiség/</t>
  </si>
  <si>
    <t>Egyek Nagyközség Önkormányzatata és az Egyeki Szöghatár Nonprofit Kft. között 2014. február 18.-án kelt 1617/2014. iktatószámú megállapodás alapján /rendezvényterem/</t>
  </si>
  <si>
    <t>Eredeti előirányzat</t>
  </si>
  <si>
    <t>Módosított előirányzat</t>
  </si>
  <si>
    <t xml:space="preserve"> Forintban </t>
  </si>
  <si>
    <t>Rövid lejáratú önkormányzati folyószámla hitel</t>
  </si>
  <si>
    <t>Egyek horgászturizmushoz kapcsolódó pihenőpark és sétaút kialakítása önerő fedezete fejlesztési célú hitel</t>
  </si>
  <si>
    <t>2.4.</t>
  </si>
  <si>
    <t>Műfüves labdarugópálya pályázati tervdokumentáció elkészítésének finanszírozása feljesztési célú hitel</t>
  </si>
  <si>
    <t>2.11.</t>
  </si>
  <si>
    <t>2.12.</t>
  </si>
  <si>
    <t>Gyepmesteri telep építése Egyeken önerő finanszírozása fejlesztési célú hitel</t>
  </si>
  <si>
    <t>2.13.</t>
  </si>
  <si>
    <t>Önkormányzati tulajdonú ingatlanok fűtés korszerűsítése fejlesztési célú hitel</t>
  </si>
  <si>
    <t>Világító testek bérleti díja</t>
  </si>
  <si>
    <t>Egyek Nagyközség Önkormányzata ingatlanainak vagyonbiztosítási díja</t>
  </si>
  <si>
    <t>Egyek Nagyközség területén térfigyelő rendszer rendszer felügyeleti díj</t>
  </si>
  <si>
    <t>Közületi hulladékszállítási díj Polgármesteri Hivatalban esetén</t>
  </si>
  <si>
    <t>Gyepmesteri telep kártevőírtás szolgáltatás</t>
  </si>
  <si>
    <t>4.23.</t>
  </si>
  <si>
    <t>2021.</t>
  </si>
  <si>
    <t>Egyek Nagyközség Önkormányzat és költségvetési szervei 2019. évi bevételei forrásonként, főbb jogcím-csoportonkénti részletezettségben</t>
  </si>
  <si>
    <t>Egyek Nagyközség Önkormányzat és költségvetési szervei 2019. évi  kiadásai kiemelt előirányzatonként</t>
  </si>
  <si>
    <t>Önkormányzat 2019. évi bevételei kormányzati funkciók szerinti bontásban</t>
  </si>
  <si>
    <t>032020 Tűz- és katasztrófavédelmi tevékenységek</t>
  </si>
  <si>
    <t>045120 Út- autópálya építése</t>
  </si>
  <si>
    <t xml:space="preserve">  </t>
  </si>
  <si>
    <t>056010 Komplex környezetvédelmi programok támogatása</t>
  </si>
  <si>
    <t>086010 Határon túli magyarok egyéb támogatásai</t>
  </si>
  <si>
    <t>086090 Egyéb szabadidős szolgáltatás</t>
  </si>
  <si>
    <t>104060 A gyermekek, fiatalok és családok életminőségét javító programok</t>
  </si>
  <si>
    <t>107080 Esélyegyenlőség elősegítését célzó tevékenységek és programok</t>
  </si>
  <si>
    <t>107090 Romák társadalmi integrációját elősegítő tevékenységek, porgramok</t>
  </si>
  <si>
    <t>Egyek Nagyközség Önkormányzatának 2019. évi  bevételei kormányzati funkciók szerinti bontásban önként vállalt feladatonként</t>
  </si>
  <si>
    <t>Egyeki Polgármesteri Hivatal 2019. évi bevételei kormányzati funkciók szerinti bontásban</t>
  </si>
  <si>
    <t>016010 Országgyűlési, önkormányzati és európai parlamenti képviselőválasztásokhoz kapcsolódó tevékenységek</t>
  </si>
  <si>
    <t>Egyeki Polgármesteri Hivatal 2019. évi bevételei kormányzati funkciók szerinti bontásban kötelezően ellátandó feladatonként</t>
  </si>
  <si>
    <t>Tárkányi Béla Könyvtár és Művelődési Ház 2019. évi bevételei kormányzati funkcók szerinti bontásban</t>
  </si>
  <si>
    <t>Tárkányi Béla Könyvtár és Művelődési Ház 2019. évi bevételei kormányzati funkciók szerinti bontásban kötelezően ellátandó feladatonként</t>
  </si>
  <si>
    <t>Egyek Nagyközség Önkormányzatának 2019. évi kiadásai kormányzati funkciók szerinti bontásban</t>
  </si>
  <si>
    <t>Egyek Nagyközség Önkormányzatának 2019. évi kiadásai kormányzati funkciók szerinti bontásban, az önkormányzat által ellátandó kötelező feladatonként</t>
  </si>
  <si>
    <t>Egyek Nagyközség Önkormányzatának 2019. évi kiadásai kormányzati funkciók szerinti bontásban, az önkormányzat által önálló feladatonként</t>
  </si>
  <si>
    <t>Az Egyeki Polgármesteri Hivatal 2019. évi kiadásai feladatonként kormányzati funkciók szerinti bontásban</t>
  </si>
  <si>
    <t>Az Egyeki Polgármesteri Hivatal 2019. évi kiadásai feladatonként kormányzati funkciók szerinti bontásban, kötelezően ellátandó feladatonként</t>
  </si>
  <si>
    <t>Tárkányi Béla Könyvtár és Művelődési Ház 2019. évi kiadásai feladatonként kormányzati funkciók szerinti bontásban</t>
  </si>
  <si>
    <t>041237 Közfoglalkoztatási mintaprogram</t>
  </si>
  <si>
    <t xml:space="preserve">K512. Tartalék </t>
  </si>
  <si>
    <t>K512. Tartalék</t>
  </si>
  <si>
    <t>056010 Komplex környezetvédeli programok támogatása</t>
  </si>
  <si>
    <t>074040 Fertőző megbetegedések megelőzése, járványügyi ellátás</t>
  </si>
  <si>
    <t>107090 Romák társadalmi integrációját elősegítő tevékenységek, programok</t>
  </si>
  <si>
    <t>Egyek Nagyközség Önkormányzat és költségvetési szervei 2019. évi működési  kiadásai kiemelt előirányzatonként</t>
  </si>
  <si>
    <t xml:space="preserve">Egyek Nagyközség Önkormányzata 2019. évben nyújtott közvetett támogatásának teljesülése
</t>
  </si>
  <si>
    <t>Egyek Nagyközség Önkormányzat Képviselő Testületének 30/2019. (XII.12.) sz. rendelete 7.§ C.) pontja</t>
  </si>
  <si>
    <t>Egyek Nagyközség Önkormányzata és általa irányított költségvetési szervek eszközeiről készített</t>
  </si>
  <si>
    <t>2018. év</t>
  </si>
  <si>
    <t>2019. év</t>
  </si>
  <si>
    <t xml:space="preserve">I. Immateriális javak </t>
  </si>
  <si>
    <t xml:space="preserve">                                                                                    Egyek Nagyközség Önkormányzata és az általa irányított költségvetési szervek eszközeiről és kötelezettségeiről készített</t>
  </si>
  <si>
    <t>A 2019. évben érték nélkül nyilvántartott eszközökről</t>
  </si>
  <si>
    <t>Értéke                   2018. év</t>
  </si>
  <si>
    <t>Értéke                   2019. év</t>
  </si>
  <si>
    <t>Tiszafüred Központi Orvosi Ügyelet</t>
  </si>
  <si>
    <t>Balmazújvárosi Többcélú Társulás</t>
  </si>
  <si>
    <t>Nem közművel összegyűjtött szenyvízártalmatlanítás tám.</t>
  </si>
  <si>
    <t>Tiszafüred Város Önkormányzata részére fizetendő díj</t>
  </si>
  <si>
    <t>Elvonások és befizetések</t>
  </si>
  <si>
    <t>Működési célú visszatérítendő kölcsön nyújtása:ESBSE</t>
  </si>
  <si>
    <t xml:space="preserve">Környezetvédelmi pályázat </t>
  </si>
  <si>
    <t>Egyeki Sportbarátok Sport Egyesülete</t>
  </si>
  <si>
    <t>Önkormányzati Tűzoltóságnak nyújtott visszatérítendő támogatás</t>
  </si>
  <si>
    <t>Polgárőrség támogatása</t>
  </si>
  <si>
    <t>Visszatérítendő krízis segély</t>
  </si>
  <si>
    <t>Szöghatár Kft. Kölcsön nyújtás</t>
  </si>
  <si>
    <t>Mentőállomás támogatása</t>
  </si>
  <si>
    <t>Iskola egészségügyi finansízírozás</t>
  </si>
  <si>
    <t>Kárenyhítési hozzájárulás</t>
  </si>
  <si>
    <t>Maradvány kimutatás 2019. évre</t>
  </si>
  <si>
    <t>Tárkányi Bála Könyvtár és Művelődési Ház 2019. év végi adósságállományának bemutatás</t>
  </si>
  <si>
    <t xml:space="preserve">Egyeki Polgármesteri Hivatal 2019. év végi adósságállományának bemutatása
</t>
  </si>
  <si>
    <t>Egyek Nagyközség Önkormányzata 2019. év végi adósságállományának bemutatása</t>
  </si>
  <si>
    <t>Egyek Nagyközség Önkormányzata 2019.évi péneszközeinek változása</t>
  </si>
  <si>
    <t>Pénzkészlet 2019. Január 1-jén</t>
  </si>
  <si>
    <t>Sajátos elszámolások 2019. január 1-jén</t>
  </si>
  <si>
    <t>Tárkányi Béla Könyvtár és Művelődési Ház 2019. évi pénzeszközeinek változása</t>
  </si>
  <si>
    <t>Sajátos elszámolások 2019. Január 1-jén</t>
  </si>
  <si>
    <t>Egyeki Polgármesteri Hivatal 2019. évi péneszközeinek változása</t>
  </si>
  <si>
    <t xml:space="preserve"> Egyek Nagyközség Önkormányzatának tulajdonában álló gazdálkodó szervezetek működéséből származó kötelezettségek , követelések, és részesedések alakulása a  2019. évben</t>
  </si>
  <si>
    <t>Kimutatás az Egyek Nagyközség Önkormányzata 2019. évi hiteltörlesztéseiről és felvételeiről, valamint a tárgyévet követő hiteltörlesztéből eredő kötelezettségek összegéről</t>
  </si>
  <si>
    <t>Lódobogás Szociális Szövetkezet</t>
  </si>
  <si>
    <t>2019. évi törlesztés dátuma</t>
  </si>
  <si>
    <t>2019. évi törlesztés összege</t>
  </si>
  <si>
    <t>2020. évi törlesztőrészlet</t>
  </si>
  <si>
    <t>2019.12.31-én fennálló hitelállomány</t>
  </si>
  <si>
    <t>Hitelszámla száma</t>
  </si>
  <si>
    <t>70100121-20905684</t>
  </si>
  <si>
    <t>70100121-20911809</t>
  </si>
  <si>
    <t>70100121-201911847</t>
  </si>
  <si>
    <t>70100121-20911823</t>
  </si>
  <si>
    <t>70100121-20974253</t>
  </si>
  <si>
    <t>Csapadékvíz támogatási előleg visszafieztésére igénybevett hitel</t>
  </si>
  <si>
    <t>70100121-20911782</t>
  </si>
  <si>
    <t>70100121-20974291</t>
  </si>
  <si>
    <t>Önkormányzati tulajdonú ingatlan fűtéskorszerűsítés</t>
  </si>
  <si>
    <t>70100121-20439697</t>
  </si>
  <si>
    <t>Műfüves labdarugó pálya kialakítása</t>
  </si>
  <si>
    <t>70100121-60979740</t>
  </si>
  <si>
    <t>102/18/V-BH2203</t>
  </si>
  <si>
    <t>"Bölcsődei ellátás infrastrukturális fejlesztése Egyeken" elnevezésű projekt megvalósításához szükséges többel forrás biztosítása</t>
  </si>
  <si>
    <t>70100121-20979605</t>
  </si>
  <si>
    <t>Gyepmesteri telep építése Egyekencímű Leader pályázat önerő finanszírozása</t>
  </si>
  <si>
    <t>"Külterületi helyi közutak fejlesztése, önkormányzati utak kezeléséhez, állapotjavításához, karbantartásához szükséges erő- és munkagépek beszerzése" elnevezésű projekt megvalósításához szükséges többlet forrás biztosítása</t>
  </si>
  <si>
    <t>102/19/V-BH1849</t>
  </si>
  <si>
    <t>70100121-60979836</t>
  </si>
  <si>
    <t>A helyi önkormányzatok kiegészítő támogatásainak és egyéb kötött felhasználású támogatásainak elszámolása</t>
  </si>
  <si>
    <t xml:space="preserve">Központi költségvetésből támogatásként rendelkezésre bocsátott összeg </t>
  </si>
  <si>
    <t>Az önkormányzat által az adott célra ténylegesen felhasznált összeg</t>
  </si>
  <si>
    <t>Polgármesteri illetmény támogatása</t>
  </si>
  <si>
    <t>Szociális ágazati összevont pótlék</t>
  </si>
  <si>
    <t>Kulturális illetménypótlék</t>
  </si>
  <si>
    <t>Muzeális intézmények szakmai támogatás (Kubinyi Ágoston Program: Tájház felújítás)</t>
  </si>
  <si>
    <t>Helyi önkormányzatok felhalmozási célú költségvetési támogatásai összesen:</t>
  </si>
  <si>
    <t>A téli rezsicsökkentésben korábban nem részesült, a vezetékes gáz- vagy távfűtéstől eltérő fűtőanyagot használó háztartások egyszeri támogatása</t>
  </si>
  <si>
    <t xml:space="preserve">Mindösszesen: </t>
  </si>
  <si>
    <t>Eltérés: fel nem használt, visszafizetendő összeg</t>
  </si>
  <si>
    <t>Az önkormányzatok általános, köznevelési és szociális feladataihoz kapcsolódó támogatások elszámolása</t>
  </si>
  <si>
    <t>Támogatás évközi módosítása</t>
  </si>
  <si>
    <t xml:space="preserve">Tényleges támogatás </t>
  </si>
  <si>
    <t>Az önkormányzat által az adott célra december 31-ig ténylegesen felhasznált összeg</t>
  </si>
  <si>
    <t>Visszafizetési kötelezettség/Többletigény</t>
  </si>
  <si>
    <t>Nem közművel összegyűjtött háztartási szennyvíz ártalmatlanítása</t>
  </si>
  <si>
    <t xml:space="preserve">Rászoruló gyermekek szünidei étkeztetése </t>
  </si>
  <si>
    <t>2018. évről áthúzódó bérkompenzáció támogatása</t>
  </si>
  <si>
    <t>Önkormányzatok rendkívüli támogatása (REKI, Önkormányzati Tűzoltóság)</t>
  </si>
  <si>
    <t xml:space="preserve">Kiegyenlítő bérrendezési alap </t>
  </si>
  <si>
    <t>Az önkormányzat által fel nem használt, de a 2020. évben jogszerűen felhasználható összeg</t>
  </si>
  <si>
    <t>Belterületi utak, járdék felújítása (Egyek, Béke u. felújítás)</t>
  </si>
  <si>
    <t>A falu- és tanyagondnoki szolgálatok kiegészítő támogatása</t>
  </si>
  <si>
    <t>A minimálbér és a garantált bérminimum emelés hatásának kompenzációja</t>
  </si>
  <si>
    <t>Az előző évi (2018.) kötelezettségvállalással terhelt kiegészítő támogatásainak és egyéb kötött felhasználású támogatások maradványainak elszámolása</t>
  </si>
  <si>
    <t>Az önkormányzat által a 2018. évben fel nem használt, de a 2019. évben jogszerűen felhasználható összeg</t>
  </si>
  <si>
    <t>Ebből 2019. évben az előírt határidőig ténylegesen felhasznált összeg</t>
  </si>
  <si>
    <t>BEVÉTELEK</t>
  </si>
  <si>
    <t>KIADÁSOK</t>
  </si>
  <si>
    <t>2018. év tény adata</t>
  </si>
  <si>
    <t>2019. évi</t>
  </si>
  <si>
    <t xml:space="preserve">Ssz. </t>
  </si>
  <si>
    <t>Zsidó temető felújítása</t>
  </si>
  <si>
    <t>082063</t>
  </si>
  <si>
    <t>Tájház felújítása</t>
  </si>
  <si>
    <t>Feladat megnevezése</t>
  </si>
  <si>
    <t>Polgármesteri Hivatal egyéb tárgyi eszközök beszerzése</t>
  </si>
  <si>
    <t>Önkormányzati jogalkotás: számítástechnikai eszközök beszerzése</t>
  </si>
  <si>
    <t>Településrendezési terv készítés</t>
  </si>
  <si>
    <t>013320</t>
  </si>
  <si>
    <t>Temető fejlesztés: egyéb tárgyi eszköz beszerzés</t>
  </si>
  <si>
    <t>Kamerarendszer korszerűsítése</t>
  </si>
  <si>
    <t>Ingatlan vásárlás: Egyek, Tisza u. 2.</t>
  </si>
  <si>
    <t>Egyek-Telekháza: játszótéri eszköz beszerzés</t>
  </si>
  <si>
    <t>Fogászati kezelőegység vásárlás</t>
  </si>
  <si>
    <t>Közfoglalkoztatási mintaprogramok: egyéb tárgyi eszköz beszerzés</t>
  </si>
  <si>
    <t>Gyepmesteri telep: egyéb tárgyi eszköz beszerzés</t>
  </si>
  <si>
    <t>Piac csarnok: kiviteli terv</t>
  </si>
  <si>
    <t>Piac csarnok építés</t>
  </si>
  <si>
    <t>Iparterület fejlesztése</t>
  </si>
  <si>
    <t>Bölcsődei ellátás infrastrukturális fejlesztése Egyeken</t>
  </si>
  <si>
    <t>Egyek Nagyközség bel- és külterületének csapadékvíz-elvezető rendszer rekonstrukciója I. ütem</t>
  </si>
  <si>
    <t>Külterületi utak fejlesztése</t>
  </si>
  <si>
    <t>Egyek település szennyvízelvezetési- és tisztítási projektje</t>
  </si>
  <si>
    <t>Közvilágítás bővítése: kivitelezési munkálatok</t>
  </si>
  <si>
    <t>Közvilágítás bővítése: tervezési díj</t>
  </si>
  <si>
    <t>Könyvtár: egyéb tárgyi eszköz beszerzés</t>
  </si>
  <si>
    <t>2019. előtti kifizetés</t>
  </si>
  <si>
    <t>2022.</t>
  </si>
  <si>
    <t>Bölcsőde építés</t>
  </si>
  <si>
    <t>2.14.</t>
  </si>
  <si>
    <t xml:space="preserve">"Települési környezetvédelmi infrastruktúra-fejlesztése" c. projekthez kapcsolódó építési munkák </t>
  </si>
  <si>
    <t>Szennyvízcsatorna I. ütem kiépítése, Szennyvíztisztító telep áthelyezése</t>
  </si>
  <si>
    <t>"Ipari parkok, ipaterületek fejlesztése" c. projekt, kötelező tájékoztatás és nyilvánosság tevékenységének ellátása</t>
  </si>
  <si>
    <t>"Bölcsődei ellátás infrastrukturális fejlesztése Egyeken" c. projekt kötelező nyilvánossági és kommunikációs tevékenységének lebonyolítása</t>
  </si>
  <si>
    <t>"Települési környezetvédelmi infrastruktúra-fejlesztése" c. projekthez kapcsolódó építési munkák műszaki lebonyolításával kapcsolatos műszaki ellenőrzési feladatok</t>
  </si>
  <si>
    <t>"Ipari parkok, ipaterületek fejlesztése" c. pályázathoz készítendő engedélyes és kiviteli terv</t>
  </si>
  <si>
    <t>3.7.</t>
  </si>
  <si>
    <t>"Helyi termékértékesítést szolgáló piac kialakítása Egyek Nagyközségben" c. projekt projektmenedzsment feladatainak ellátása</t>
  </si>
  <si>
    <t>3.8.</t>
  </si>
  <si>
    <t>"Ipari parkok, ipaterületek fejlesztése" c. projekt,közbeszerzési eljárás teljes körű lebonyolítása</t>
  </si>
  <si>
    <t>3.9.</t>
  </si>
  <si>
    <t>"Ipari parkok, ipaterületek fejlesztése c. projekthez kapcsolódó építési munkák műszaki lebonyolításával, ezen belül a műszaki ellenőrzés feladatainak ellátása</t>
  </si>
  <si>
    <t>3.10.</t>
  </si>
  <si>
    <t>Bölcsődei ellátás infrastrukturális fejlesztése Egyeken c. projekthez kapcsolódó építési munkák műszaki lebonyolításával, ezen belül a műszaki ellenőrzési felatok ellátása</t>
  </si>
  <si>
    <t>3.11.</t>
  </si>
  <si>
    <t>"Egyek Nagyközség bel- és külterületének csapadékvíz-elvezető rendszer rekonstrukciója I. ütem" c. projekt projektmenedzsmenti feladatok ellátása</t>
  </si>
  <si>
    <t>Attila telepen fellelhető külterületi ingatlanok elbirtoklása, ügyvédi díj előleg</t>
  </si>
  <si>
    <t xml:space="preserve">Tűz és munkavédelmi szolgáltatás </t>
  </si>
  <si>
    <t>2019. évi kifizetés</t>
  </si>
  <si>
    <t>2.15.</t>
  </si>
  <si>
    <t>Mezőgazdasági útépítés</t>
  </si>
  <si>
    <t xml:space="preserve">                                              Egyek Nagyközség Önkormányzat 2019. évi működési és felhalmozási célú bevételeinek és kiadásainak alakulása</t>
  </si>
  <si>
    <t>Államháztartáson belüli megelőlegezések</t>
  </si>
  <si>
    <t>B.2. Felhalmozási célú támogatások államháztartáson belülről</t>
  </si>
  <si>
    <t>Távfelügyeleti szolgáltatás tűzjelző rendszerre (Könyvtár)</t>
  </si>
  <si>
    <t>Távfelügyeleti szolgáltatás (Egészségház, Polgármesteri Hivatal)</t>
  </si>
  <si>
    <t>Viziközmű vagyon felújítása</t>
  </si>
  <si>
    <t xml:space="preserve">Önkormányzati ingatlanok: nyílászáró csere (Hunyadi u.12.,Fasor u 57., Petőfi u. 23.) </t>
  </si>
  <si>
    <t>Önkormányzati ingatlanok felújítása: Egyek, Ősz u. 27., Hunyadi u. 30, Hunyadi u. 63.</t>
  </si>
  <si>
    <t>Béke u. felújítása</t>
  </si>
  <si>
    <t>107080</t>
  </si>
  <si>
    <t>Esélyegyenlőség elősegítését célzó tevékenységek és programok</t>
  </si>
  <si>
    <t>011220</t>
  </si>
  <si>
    <t>Polgármesteri Hivatal informatikai eszközök beszerzése</t>
  </si>
  <si>
    <t>Önkormányzati jogalkotás: egyéb tárgyi eszközök beszerzése</t>
  </si>
  <si>
    <t>Ingatlan vásárlás: Egyek, Rózsás u. 10.</t>
  </si>
  <si>
    <t>Ingatlan vásárlás: Egyek, Béke u. 17. 2/12 tulajdoni hányad</t>
  </si>
  <si>
    <t xml:space="preserve">Ősz u. 27.: gáz terv </t>
  </si>
  <si>
    <t>Önkormányzati vagyon: egyéb tárgyi eszköz beszerzés</t>
  </si>
  <si>
    <t xml:space="preserve">2019. évi közfoglalkoztatással kapcsolatos beruházások </t>
  </si>
  <si>
    <t>Közfoglalkoztatási mintaprogramok: számítástechnikai eszközök beszerzése</t>
  </si>
  <si>
    <t>056010</t>
  </si>
  <si>
    <t>Komplex környezetvédelmi program támogatása</t>
  </si>
  <si>
    <t>066020</t>
  </si>
  <si>
    <t>"Tanyagondnoki szolgálat fejlesztése Egyeken" c. pályázat keretében beszerzett eszközök</t>
  </si>
  <si>
    <t>082044</t>
  </si>
  <si>
    <t>082091</t>
  </si>
  <si>
    <t>Közművelődés - közösségi és társadalmi részvétel fejlesztése</t>
  </si>
  <si>
    <t>107055</t>
  </si>
  <si>
    <t>Falugondnoki tanyagondnoki eszköz beszerzés (pályázat)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</si>
</sst>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_-* #,##0.00\ _F_t_-;\-* #,##0.00\ _F_t_-;_-* \-??\ _F_t_-;_-@_-"/>
    <numFmt numFmtId="168" formatCode="_-* #,##0\ _F_t_-;\-* #,##0\ _F_t_-;_-* \-??\ _F_t_-;_-@_-"/>
    <numFmt numFmtId="169" formatCode="0.0%"/>
    <numFmt numFmtId="170" formatCode="00"/>
    <numFmt numFmtId="171" formatCode="#,###__;\-#,###__"/>
    <numFmt numFmtId="172" formatCode="0.0000%"/>
    <numFmt numFmtId="173" formatCode="#,##0_ ;\-#,##0\ "/>
    <numFmt numFmtId="174" formatCode="0_ ;\-0\ "/>
    <numFmt numFmtId="175" formatCode="_-* #,##0.0\ _F_t_-;\-* #,##0.0\ _F_t_-;_-* &quot;-&quot;??\ _F_t_-;_-@_-"/>
  </numFmts>
  <fonts count="10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 CE"/>
      <charset val="238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b/>
      <i/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Times New Roman"/>
      <family val="1"/>
    </font>
    <font>
      <sz val="14"/>
      <name val="Times New Roman"/>
      <family val="1"/>
    </font>
    <font>
      <b/>
      <i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b/>
      <i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 CE"/>
      <family val="1"/>
      <charset val="238"/>
    </font>
    <font>
      <i/>
      <sz val="8"/>
      <name val="Arial"/>
      <family val="2"/>
      <charset val="238"/>
    </font>
    <font>
      <b/>
      <sz val="11"/>
      <name val="Arial"/>
      <family val="2"/>
    </font>
    <font>
      <i/>
      <sz val="11"/>
      <color indexed="8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51" fillId="0" borderId="0" applyFill="0" applyBorder="0" applyAlignment="0" applyProtection="0"/>
    <xf numFmtId="43" fontId="12" fillId="0" borderId="0" applyFont="0" applyFill="0" applyBorder="0" applyAlignment="0" applyProtection="0"/>
    <xf numFmtId="167" fontId="51" fillId="0" borderId="0" applyFill="0" applyBorder="0" applyAlignment="0" applyProtection="0"/>
    <xf numFmtId="0" fontId="12" fillId="0" borderId="0"/>
    <xf numFmtId="0" fontId="12" fillId="0" borderId="0"/>
    <xf numFmtId="0" fontId="51" fillId="0" borderId="0"/>
    <xf numFmtId="0" fontId="14" fillId="0" borderId="0"/>
    <xf numFmtId="0" fontId="25" fillId="0" borderId="0"/>
    <xf numFmtId="0" fontId="51" fillId="0" borderId="0"/>
    <xf numFmtId="0" fontId="79" fillId="0" borderId="0"/>
    <xf numFmtId="0" fontId="49" fillId="0" borderId="0"/>
    <xf numFmtId="0" fontId="56" fillId="0" borderId="0"/>
    <xf numFmtId="0" fontId="14" fillId="0" borderId="0"/>
    <xf numFmtId="9" fontId="51" fillId="0" borderId="0" applyFill="0" applyBorder="0" applyAlignment="0" applyProtection="0"/>
    <xf numFmtId="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778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/>
    <xf numFmtId="0" fontId="0" fillId="0" borderId="0" xfId="0" applyBorder="1" applyAlignment="1"/>
    <xf numFmtId="0" fontId="15" fillId="0" borderId="1" xfId="0" applyFont="1" applyBorder="1"/>
    <xf numFmtId="0" fontId="13" fillId="0" borderId="0" xfId="0" applyFont="1"/>
    <xf numFmtId="0" fontId="9" fillId="0" borderId="0" xfId="0" applyFont="1" applyAlignment="1"/>
    <xf numFmtId="0" fontId="15" fillId="0" borderId="0" xfId="0" applyFont="1" applyBorder="1"/>
    <xf numFmtId="0" fontId="9" fillId="0" borderId="0" xfId="0" applyFont="1" applyAlignment="1">
      <alignment horizontal="center" wrapText="1"/>
    </xf>
    <xf numFmtId="0" fontId="9" fillId="0" borderId="1" xfId="0" applyFont="1" applyBorder="1" applyAlignment="1"/>
    <xf numFmtId="0" fontId="17" fillId="0" borderId="0" xfId="0" applyFont="1" applyAlignment="1"/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26" fillId="0" borderId="0" xfId="0" applyFont="1"/>
    <xf numFmtId="0" fontId="13" fillId="0" borderId="2" xfId="0" applyFont="1" applyBorder="1"/>
    <xf numFmtId="0" fontId="13" fillId="0" borderId="3" xfId="0" applyFont="1" applyBorder="1"/>
    <xf numFmtId="0" fontId="28" fillId="0" borderId="0" xfId="0" applyFont="1"/>
    <xf numFmtId="0" fontId="15" fillId="0" borderId="0" xfId="0" applyFont="1" applyBorder="1" applyAlignment="1"/>
    <xf numFmtId="3" fontId="15" fillId="0" borderId="0" xfId="0" applyNumberFormat="1" applyFont="1" applyBorder="1" applyAlignment="1"/>
    <xf numFmtId="0" fontId="0" fillId="0" borderId="0" xfId="0" applyFill="1"/>
    <xf numFmtId="0" fontId="6" fillId="0" borderId="0" xfId="0" applyFont="1"/>
    <xf numFmtId="0" fontId="29" fillId="0" borderId="0" xfId="0" applyFont="1"/>
    <xf numFmtId="166" fontId="13" fillId="0" borderId="2" xfId="1" applyNumberFormat="1" applyFont="1" applyBorder="1"/>
    <xf numFmtId="3" fontId="19" fillId="2" borderId="0" xfId="0" applyNumberFormat="1" applyFont="1" applyFill="1" applyBorder="1" applyAlignment="1"/>
    <xf numFmtId="3" fontId="20" fillId="2" borderId="0" xfId="0" applyNumberFormat="1" applyFont="1" applyFill="1" applyBorder="1" applyAlignment="1"/>
    <xf numFmtId="0" fontId="18" fillId="2" borderId="0" xfId="0" applyFont="1" applyFill="1" applyBorder="1" applyAlignment="1"/>
    <xf numFmtId="166" fontId="0" fillId="0" borderId="0" xfId="0" applyNumberFormat="1"/>
    <xf numFmtId="0" fontId="0" fillId="2" borderId="0" xfId="0" applyFill="1"/>
    <xf numFmtId="0" fontId="15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3" fontId="24" fillId="2" borderId="1" xfId="0" applyNumberFormat="1" applyFont="1" applyFill="1" applyBorder="1"/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Border="1"/>
    <xf numFmtId="3" fontId="24" fillId="2" borderId="4" xfId="0" applyNumberFormat="1" applyFont="1" applyFill="1" applyBorder="1" applyAlignment="1"/>
    <xf numFmtId="3" fontId="24" fillId="2" borderId="0" xfId="0" applyNumberFormat="1" applyFont="1" applyFill="1" applyBorder="1"/>
    <xf numFmtId="3" fontId="24" fillId="2" borderId="0" xfId="0" applyNumberFormat="1" applyFont="1" applyFill="1" applyBorder="1" applyAlignment="1"/>
    <xf numFmtId="3" fontId="23" fillId="2" borderId="0" xfId="0" applyNumberFormat="1" applyFont="1" applyFill="1" applyBorder="1" applyAlignment="1">
      <alignment wrapText="1"/>
    </xf>
    <xf numFmtId="3" fontId="0" fillId="2" borderId="0" xfId="0" applyNumberFormat="1" applyFill="1"/>
    <xf numFmtId="0" fontId="28" fillId="2" borderId="0" xfId="0" applyFont="1" applyFill="1"/>
    <xf numFmtId="3" fontId="28" fillId="2" borderId="0" xfId="0" applyNumberFormat="1" applyFont="1" applyFill="1"/>
    <xf numFmtId="0" fontId="13" fillId="0" borderId="2" xfId="0" applyFont="1" applyBorder="1" applyAlignment="1">
      <alignment wrapText="1"/>
    </xf>
    <xf numFmtId="3" fontId="15" fillId="0" borderId="1" xfId="0" applyNumberFormat="1" applyFont="1" applyBorder="1" applyAlignment="1">
      <alignment horizontal="center"/>
    </xf>
    <xf numFmtId="166" fontId="13" fillId="0" borderId="5" xfId="1" applyNumberFormat="1" applyFont="1" applyBorder="1"/>
    <xf numFmtId="166" fontId="13" fillId="0" borderId="6" xfId="1" applyNumberFormat="1" applyFont="1" applyBorder="1"/>
    <xf numFmtId="166" fontId="13" fillId="0" borderId="7" xfId="1" applyNumberFormat="1" applyFont="1" applyBorder="1"/>
    <xf numFmtId="3" fontId="13" fillId="0" borderId="8" xfId="0" applyNumberFormat="1" applyFont="1" applyBorder="1" applyAlignment="1">
      <alignment horizontal="center"/>
    </xf>
    <xf numFmtId="166" fontId="13" fillId="0" borderId="9" xfId="1" applyNumberFormat="1" applyFont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166" fontId="13" fillId="0" borderId="10" xfId="1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6" fontId="15" fillId="0" borderId="1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6" fontId="13" fillId="0" borderId="4" xfId="1" applyNumberFormat="1" applyFont="1" applyBorder="1" applyAlignment="1">
      <alignment horizontal="center"/>
    </xf>
    <xf numFmtId="166" fontId="13" fillId="0" borderId="12" xfId="1" applyNumberFormat="1" applyFont="1" applyBorder="1"/>
    <xf numFmtId="0" fontId="8" fillId="2" borderId="13" xfId="0" applyFont="1" applyFill="1" applyBorder="1" applyAlignment="1">
      <alignment horizontal="center"/>
    </xf>
    <xf numFmtId="0" fontId="32" fillId="0" borderId="0" xfId="0" applyFont="1"/>
    <xf numFmtId="0" fontId="13" fillId="0" borderId="3" xfId="0" applyFont="1" applyBorder="1" applyAlignment="1">
      <alignment wrapText="1"/>
    </xf>
    <xf numFmtId="166" fontId="15" fillId="0" borderId="1" xfId="1" applyNumberFormat="1" applyFont="1" applyBorder="1"/>
    <xf numFmtId="166" fontId="13" fillId="0" borderId="3" xfId="1" applyNumberFormat="1" applyFont="1" applyBorder="1"/>
    <xf numFmtId="166" fontId="15" fillId="0" borderId="14" xfId="1" applyNumberFormat="1" applyFont="1" applyBorder="1"/>
    <xf numFmtId="0" fontId="17" fillId="0" borderId="13" xfId="0" applyFont="1" applyBorder="1" applyAlignment="1">
      <alignment horizontal="right"/>
    </xf>
    <xf numFmtId="0" fontId="9" fillId="0" borderId="0" xfId="0" applyFont="1" applyAlignment="1">
      <alignment wrapText="1"/>
    </xf>
    <xf numFmtId="166" fontId="13" fillId="0" borderId="0" xfId="1" applyNumberFormat="1" applyFont="1" applyFill="1" applyBorder="1"/>
    <xf numFmtId="166" fontId="13" fillId="0" borderId="10" xfId="1" applyNumberFormat="1" applyFont="1" applyFill="1" applyBorder="1" applyAlignment="1">
      <alignment horizontal="center"/>
    </xf>
    <xf numFmtId="166" fontId="13" fillId="0" borderId="9" xfId="1" applyNumberFormat="1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0" fillId="0" borderId="0" xfId="0" applyAlignment="1">
      <alignment horizontal="right"/>
    </xf>
    <xf numFmtId="166" fontId="14" fillId="2" borderId="8" xfId="1" applyNumberFormat="1" applyFont="1" applyFill="1" applyBorder="1"/>
    <xf numFmtId="166" fontId="0" fillId="0" borderId="8" xfId="0" applyNumberFormat="1" applyBorder="1"/>
    <xf numFmtId="166" fontId="13" fillId="0" borderId="1" xfId="1" applyNumberFormat="1" applyFont="1" applyBorder="1" applyAlignment="1">
      <alignment horizontal="center"/>
    </xf>
    <xf numFmtId="3" fontId="18" fillId="2" borderId="16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right"/>
    </xf>
    <xf numFmtId="166" fontId="14" fillId="0" borderId="8" xfId="1" applyNumberFormat="1" applyFont="1" applyFill="1" applyBorder="1"/>
    <xf numFmtId="0" fontId="0" fillId="0" borderId="0" xfId="0" applyFont="1"/>
    <xf numFmtId="166" fontId="6" fillId="0" borderId="17" xfId="0" applyNumberFormat="1" applyFont="1" applyBorder="1"/>
    <xf numFmtId="166" fontId="13" fillId="0" borderId="1" xfId="1" applyNumberFormat="1" applyFont="1" applyBorder="1"/>
    <xf numFmtId="166" fontId="12" fillId="0" borderId="0" xfId="1" applyNumberFormat="1" applyFont="1"/>
    <xf numFmtId="166" fontId="8" fillId="0" borderId="1" xfId="1" applyNumberFormat="1" applyFont="1" applyBorder="1" applyAlignment="1">
      <alignment horizontal="center"/>
    </xf>
    <xf numFmtId="3" fontId="23" fillId="0" borderId="1" xfId="0" applyNumberFormat="1" applyFont="1" applyFill="1" applyBorder="1" applyAlignment="1">
      <alignment wrapText="1"/>
    </xf>
    <xf numFmtId="3" fontId="24" fillId="0" borderId="18" xfId="0" applyNumberFormat="1" applyFont="1" applyFill="1" applyBorder="1"/>
    <xf numFmtId="3" fontId="24" fillId="0" borderId="19" xfId="0" applyNumberFormat="1" applyFont="1" applyFill="1" applyBorder="1"/>
    <xf numFmtId="3" fontId="24" fillId="0" borderId="20" xfId="0" applyNumberFormat="1" applyFont="1" applyFill="1" applyBorder="1"/>
    <xf numFmtId="3" fontId="39" fillId="0" borderId="2" xfId="0" applyNumberFormat="1" applyFont="1" applyFill="1" applyBorder="1" applyAlignment="1">
      <alignment wrapText="1"/>
    </xf>
    <xf numFmtId="3" fontId="39" fillId="0" borderId="21" xfId="0" applyNumberFormat="1" applyFont="1" applyFill="1" applyBorder="1"/>
    <xf numFmtId="3" fontId="39" fillId="0" borderId="22" xfId="0" applyNumberFormat="1" applyFont="1" applyFill="1" applyBorder="1"/>
    <xf numFmtId="3" fontId="39" fillId="2" borderId="22" xfId="0" applyNumberFormat="1" applyFont="1" applyFill="1" applyBorder="1"/>
    <xf numFmtId="3" fontId="39" fillId="2" borderId="8" xfId="0" applyNumberFormat="1" applyFont="1" applyFill="1" applyBorder="1"/>
    <xf numFmtId="3" fontId="40" fillId="0" borderId="3" xfId="0" applyNumberFormat="1" applyFont="1" applyFill="1" applyBorder="1" applyAlignment="1">
      <alignment wrapText="1"/>
    </xf>
    <xf numFmtId="3" fontId="40" fillId="0" borderId="10" xfId="0" applyNumberFormat="1" applyFont="1" applyFill="1" applyBorder="1"/>
    <xf numFmtId="3" fontId="40" fillId="0" borderId="11" xfId="0" applyNumberFormat="1" applyFont="1" applyFill="1" applyBorder="1"/>
    <xf numFmtId="3" fontId="40" fillId="2" borderId="11" xfId="0" applyNumberFormat="1" applyFont="1" applyFill="1" applyBorder="1"/>
    <xf numFmtId="3" fontId="24" fillId="0" borderId="11" xfId="0" applyNumberFormat="1" applyFont="1" applyFill="1" applyBorder="1"/>
    <xf numFmtId="3" fontId="39" fillId="0" borderId="3" xfId="0" applyNumberFormat="1" applyFont="1" applyFill="1" applyBorder="1" applyAlignment="1">
      <alignment wrapText="1"/>
    </xf>
    <xf numFmtId="3" fontId="39" fillId="0" borderId="10" xfId="0" applyNumberFormat="1" applyFont="1" applyFill="1" applyBorder="1"/>
    <xf numFmtId="3" fontId="39" fillId="0" borderId="11" xfId="0" applyNumberFormat="1" applyFont="1" applyFill="1" applyBorder="1"/>
    <xf numFmtId="3" fontId="39" fillId="2" borderId="11" xfId="0" applyNumberFormat="1" applyFont="1" applyFill="1" applyBorder="1"/>
    <xf numFmtId="3" fontId="40" fillId="0" borderId="23" xfId="0" applyNumberFormat="1" applyFont="1" applyFill="1" applyBorder="1" applyAlignment="1">
      <alignment wrapText="1"/>
    </xf>
    <xf numFmtId="3" fontId="40" fillId="0" borderId="21" xfId="0" applyNumberFormat="1" applyFont="1" applyFill="1" applyBorder="1"/>
    <xf numFmtId="3" fontId="40" fillId="0" borderId="22" xfId="0" applyNumberFormat="1" applyFont="1" applyFill="1" applyBorder="1"/>
    <xf numFmtId="3" fontId="33" fillId="2" borderId="22" xfId="0" applyNumberFormat="1" applyFont="1" applyFill="1" applyBorder="1"/>
    <xf numFmtId="3" fontId="33" fillId="2" borderId="24" xfId="0" applyNumberFormat="1" applyFont="1" applyFill="1" applyBorder="1"/>
    <xf numFmtId="3" fontId="40" fillId="0" borderId="2" xfId="0" applyNumberFormat="1" applyFont="1" applyFill="1" applyBorder="1" applyAlignment="1">
      <alignment wrapText="1"/>
    </xf>
    <xf numFmtId="3" fontId="41" fillId="0" borderId="8" xfId="0" applyNumberFormat="1" applyFont="1" applyFill="1" applyBorder="1"/>
    <xf numFmtId="3" fontId="41" fillId="0" borderId="25" xfId="0" applyNumberFormat="1" applyFont="1" applyFill="1" applyBorder="1"/>
    <xf numFmtId="3" fontId="41" fillId="0" borderId="10" xfId="0" applyNumberFormat="1" applyFont="1" applyFill="1" applyBorder="1"/>
    <xf numFmtId="3" fontId="41" fillId="0" borderId="11" xfId="0" applyNumberFormat="1" applyFont="1" applyFill="1" applyBorder="1"/>
    <xf numFmtId="3" fontId="41" fillId="2" borderId="11" xfId="0" applyNumberFormat="1" applyFont="1" applyFill="1" applyBorder="1"/>
    <xf numFmtId="3" fontId="41" fillId="2" borderId="26" xfId="0" applyNumberFormat="1" applyFont="1" applyFill="1" applyBorder="1"/>
    <xf numFmtId="3" fontId="42" fillId="0" borderId="10" xfId="0" applyNumberFormat="1" applyFont="1" applyFill="1" applyBorder="1"/>
    <xf numFmtId="3" fontId="42" fillId="0" borderId="11" xfId="0" applyNumberFormat="1" applyFont="1" applyFill="1" applyBorder="1"/>
    <xf numFmtId="3" fontId="42" fillId="2" borderId="11" xfId="0" applyNumberFormat="1" applyFont="1" applyFill="1" applyBorder="1"/>
    <xf numFmtId="3" fontId="42" fillId="2" borderId="26" xfId="0" applyNumberFormat="1" applyFont="1" applyFill="1" applyBorder="1"/>
    <xf numFmtId="3" fontId="24" fillId="0" borderId="27" xfId="0" applyNumberFormat="1" applyFont="1" applyFill="1" applyBorder="1"/>
    <xf numFmtId="3" fontId="42" fillId="2" borderId="8" xfId="0" applyNumberFormat="1" applyFont="1" applyFill="1" applyBorder="1"/>
    <xf numFmtId="3" fontId="40" fillId="2" borderId="8" xfId="0" applyNumberFormat="1" applyFont="1" applyFill="1" applyBorder="1"/>
    <xf numFmtId="3" fontId="42" fillId="2" borderId="8" xfId="0" applyNumberFormat="1" applyFont="1" applyFill="1" applyBorder="1" applyAlignment="1">
      <alignment horizontal="right"/>
    </xf>
    <xf numFmtId="3" fontId="40" fillId="2" borderId="8" xfId="0" applyNumberFormat="1" applyFont="1" applyFill="1" applyBorder="1" applyAlignment="1">
      <alignment horizontal="right"/>
    </xf>
    <xf numFmtId="166" fontId="13" fillId="0" borderId="28" xfId="1" applyNumberFormat="1" applyFont="1" applyBorder="1"/>
    <xf numFmtId="166" fontId="13" fillId="0" borderId="29" xfId="1" applyNumberFormat="1" applyFont="1" applyBorder="1"/>
    <xf numFmtId="166" fontId="13" fillId="0" borderId="29" xfId="1" applyNumberFormat="1" applyFont="1" applyFill="1" applyBorder="1"/>
    <xf numFmtId="166" fontId="15" fillId="0" borderId="15" xfId="1" applyNumberFormat="1" applyFont="1" applyBorder="1" applyAlignment="1">
      <alignment horizontal="right"/>
    </xf>
    <xf numFmtId="166" fontId="14" fillId="0" borderId="8" xfId="1" applyNumberFormat="1" applyFont="1" applyBorder="1"/>
    <xf numFmtId="166" fontId="14" fillId="0" borderId="31" xfId="1" applyNumberFormat="1" applyFont="1" applyBorder="1"/>
    <xf numFmtId="3" fontId="39" fillId="2" borderId="24" xfId="0" applyNumberFormat="1" applyFont="1" applyFill="1" applyBorder="1"/>
    <xf numFmtId="3" fontId="39" fillId="2" borderId="25" xfId="0" applyNumberFormat="1" applyFont="1" applyFill="1" applyBorder="1"/>
    <xf numFmtId="3" fontId="40" fillId="2" borderId="26" xfId="0" applyNumberFormat="1" applyFont="1" applyFill="1" applyBorder="1"/>
    <xf numFmtId="3" fontId="39" fillId="2" borderId="26" xfId="0" applyNumberFormat="1" applyFont="1" applyFill="1" applyBorder="1"/>
    <xf numFmtId="166" fontId="15" fillId="0" borderId="33" xfId="1" applyNumberFormat="1" applyFont="1" applyBorder="1" applyAlignment="1">
      <alignment horizontal="right"/>
    </xf>
    <xf numFmtId="166" fontId="15" fillId="0" borderId="34" xfId="1" applyNumberFormat="1" applyFont="1" applyBorder="1"/>
    <xf numFmtId="166" fontId="15" fillId="0" borderId="35" xfId="1" applyNumberFormat="1" applyFont="1" applyBorder="1"/>
    <xf numFmtId="166" fontId="14" fillId="0" borderId="31" xfId="1" applyNumberFormat="1" applyFont="1" applyFill="1" applyBorder="1" applyAlignment="1"/>
    <xf numFmtId="166" fontId="14" fillId="0" borderId="8" xfId="1" applyNumberFormat="1" applyFont="1" applyFill="1" applyBorder="1" applyAlignment="1"/>
    <xf numFmtId="3" fontId="24" fillId="0" borderId="9" xfId="0" applyNumberFormat="1" applyFont="1" applyFill="1" applyBorder="1"/>
    <xf numFmtId="3" fontId="24" fillId="0" borderId="33" xfId="0" applyNumberFormat="1" applyFont="1" applyFill="1" applyBorder="1"/>
    <xf numFmtId="3" fontId="39" fillId="0" borderId="23" xfId="0" applyNumberFormat="1" applyFont="1" applyFill="1" applyBorder="1" applyAlignment="1">
      <alignment wrapText="1"/>
    </xf>
    <xf numFmtId="3" fontId="39" fillId="0" borderId="36" xfId="0" applyNumberFormat="1" applyFont="1" applyFill="1" applyBorder="1"/>
    <xf numFmtId="3" fontId="39" fillId="0" borderId="37" xfId="0" applyNumberFormat="1" applyFont="1" applyFill="1" applyBorder="1"/>
    <xf numFmtId="3" fontId="39" fillId="2" borderId="37" xfId="0" applyNumberFormat="1" applyFont="1" applyFill="1" applyBorder="1"/>
    <xf numFmtId="3" fontId="39" fillId="2" borderId="38" xfId="0" applyNumberFormat="1" applyFont="1" applyFill="1" applyBorder="1"/>
    <xf numFmtId="3" fontId="39" fillId="0" borderId="12" xfId="0" applyNumberFormat="1" applyFont="1" applyFill="1" applyBorder="1" applyAlignment="1">
      <alignment wrapText="1"/>
    </xf>
    <xf numFmtId="3" fontId="36" fillId="0" borderId="1" xfId="0" applyNumberFormat="1" applyFont="1" applyFill="1" applyBorder="1" applyAlignment="1">
      <alignment wrapText="1"/>
    </xf>
    <xf numFmtId="3" fontId="23" fillId="0" borderId="15" xfId="0" applyNumberFormat="1" applyFont="1" applyFill="1" applyBorder="1" applyAlignment="1">
      <alignment wrapText="1"/>
    </xf>
    <xf numFmtId="3" fontId="24" fillId="0" borderId="39" xfId="0" applyNumberFormat="1" applyFont="1" applyFill="1" applyBorder="1"/>
    <xf numFmtId="3" fontId="24" fillId="0" borderId="40" xfId="0" applyNumberFormat="1" applyFont="1" applyFill="1" applyBorder="1"/>
    <xf numFmtId="3" fontId="24" fillId="0" borderId="14" xfId="0" applyNumberFormat="1" applyFont="1" applyFill="1" applyBorder="1"/>
    <xf numFmtId="3" fontId="24" fillId="0" borderId="1" xfId="0" applyNumberFormat="1" applyFont="1" applyFill="1" applyBorder="1"/>
    <xf numFmtId="3" fontId="24" fillId="2" borderId="41" xfId="0" applyNumberFormat="1" applyFont="1" applyFill="1" applyBorder="1"/>
    <xf numFmtId="3" fontId="41" fillId="0" borderId="9" xfId="0" applyNumberFormat="1" applyFont="1" applyFill="1" applyBorder="1"/>
    <xf numFmtId="3" fontId="24" fillId="2" borderId="1" xfId="0" applyNumberFormat="1" applyFont="1" applyFill="1" applyBorder="1" applyAlignment="1">
      <alignment wrapText="1"/>
    </xf>
    <xf numFmtId="3" fontId="24" fillId="2" borderId="27" xfId="0" applyNumberFormat="1" applyFont="1" applyFill="1" applyBorder="1"/>
    <xf numFmtId="3" fontId="24" fillId="2" borderId="19" xfId="0" applyNumberFormat="1" applyFont="1" applyFill="1" applyBorder="1"/>
    <xf numFmtId="3" fontId="24" fillId="2" borderId="20" xfId="0" applyNumberFormat="1" applyFont="1" applyFill="1" applyBorder="1"/>
    <xf numFmtId="3" fontId="39" fillId="0" borderId="29" xfId="0" applyNumberFormat="1" applyFont="1" applyFill="1" applyBorder="1" applyAlignment="1">
      <alignment wrapText="1"/>
    </xf>
    <xf numFmtId="0" fontId="8" fillId="0" borderId="15" xfId="0" applyFont="1" applyBorder="1" applyAlignment="1">
      <alignment horizontal="center" vertical="center"/>
    </xf>
    <xf numFmtId="0" fontId="21" fillId="0" borderId="0" xfId="0" applyFont="1" applyAlignment="1"/>
    <xf numFmtId="3" fontId="24" fillId="2" borderId="14" xfId="0" applyNumberFormat="1" applyFont="1" applyFill="1" applyBorder="1"/>
    <xf numFmtId="3" fontId="41" fillId="2" borderId="8" xfId="0" applyNumberFormat="1" applyFont="1" applyFill="1" applyBorder="1"/>
    <xf numFmtId="0" fontId="44" fillId="2" borderId="35" xfId="0" applyFont="1" applyFill="1" applyBorder="1" applyAlignment="1">
      <alignment vertical="center" wrapText="1"/>
    </xf>
    <xf numFmtId="0" fontId="44" fillId="2" borderId="35" xfId="0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left" vertical="center" wrapText="1"/>
    </xf>
    <xf numFmtId="0" fontId="47" fillId="0" borderId="17" xfId="0" applyFont="1" applyBorder="1" applyAlignment="1">
      <alignment horizontal="left" vertical="center"/>
    </xf>
    <xf numFmtId="166" fontId="15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15" fillId="0" borderId="35" xfId="0" applyNumberFormat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166" fontId="13" fillId="0" borderId="41" xfId="1" applyNumberFormat="1" applyFont="1" applyBorder="1" applyAlignment="1">
      <alignment horizontal="center"/>
    </xf>
    <xf numFmtId="3" fontId="15" fillId="0" borderId="41" xfId="0" applyNumberFormat="1" applyFont="1" applyBorder="1" applyAlignment="1">
      <alignment horizontal="center"/>
    </xf>
    <xf numFmtId="166" fontId="8" fillId="0" borderId="8" xfId="1" applyNumberFormat="1" applyFont="1" applyBorder="1" applyAlignment="1">
      <alignment horizontal="center"/>
    </xf>
    <xf numFmtId="166" fontId="8" fillId="0" borderId="31" xfId="1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3" fontId="15" fillId="0" borderId="16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166" fontId="8" fillId="0" borderId="17" xfId="1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0" fontId="13" fillId="0" borderId="12" xfId="0" applyFont="1" applyBorder="1"/>
    <xf numFmtId="3" fontId="13" fillId="0" borderId="42" xfId="0" applyNumberFormat="1" applyFont="1" applyBorder="1" applyAlignment="1">
      <alignment horizontal="center"/>
    </xf>
    <xf numFmtId="166" fontId="13" fillId="0" borderId="43" xfId="1" applyNumberFormat="1" applyFont="1" applyFill="1" applyBorder="1" applyAlignment="1">
      <alignment horizontal="center"/>
    </xf>
    <xf numFmtId="166" fontId="13" fillId="0" borderId="44" xfId="1" applyNumberFormat="1" applyFont="1" applyFill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166" fontId="13" fillId="0" borderId="46" xfId="1" applyNumberFormat="1" applyFont="1" applyFill="1" applyBorder="1" applyAlignment="1">
      <alignment horizontal="center"/>
    </xf>
    <xf numFmtId="166" fontId="13" fillId="0" borderId="47" xfId="1" applyNumberFormat="1" applyFont="1" applyFill="1" applyBorder="1" applyAlignment="1">
      <alignment horizontal="center"/>
    </xf>
    <xf numFmtId="3" fontId="13" fillId="0" borderId="48" xfId="0" applyNumberFormat="1" applyFont="1" applyBorder="1" applyAlignment="1">
      <alignment horizontal="center"/>
    </xf>
    <xf numFmtId="166" fontId="13" fillId="0" borderId="49" xfId="1" applyNumberFormat="1" applyFont="1" applyBorder="1" applyAlignment="1">
      <alignment horizontal="center"/>
    </xf>
    <xf numFmtId="166" fontId="13" fillId="0" borderId="50" xfId="1" applyNumberFormat="1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3" fontId="13" fillId="2" borderId="42" xfId="0" applyNumberFormat="1" applyFont="1" applyFill="1" applyBorder="1" applyAlignment="1">
      <alignment horizontal="center"/>
    </xf>
    <xf numFmtId="3" fontId="13" fillId="2" borderId="31" xfId="0" applyNumberFormat="1" applyFont="1" applyFill="1" applyBorder="1" applyAlignment="1">
      <alignment horizontal="center"/>
    </xf>
    <xf numFmtId="3" fontId="13" fillId="2" borderId="32" xfId="0" applyNumberFormat="1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3" fontId="13" fillId="2" borderId="48" xfId="0" applyNumberFormat="1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3" fontId="13" fillId="2" borderId="30" xfId="0" applyNumberFormat="1" applyFont="1" applyFill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 wrapText="1"/>
    </xf>
    <xf numFmtId="3" fontId="18" fillId="2" borderId="32" xfId="0" applyNumberFormat="1" applyFont="1" applyFill="1" applyBorder="1" applyAlignment="1">
      <alignment horizontal="center"/>
    </xf>
    <xf numFmtId="0" fontId="15" fillId="0" borderId="45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166" fontId="14" fillId="2" borderId="11" xfId="1" applyNumberFormat="1" applyFont="1" applyFill="1" applyBorder="1"/>
    <xf numFmtId="166" fontId="14" fillId="0" borderId="11" xfId="1" applyNumberFormat="1" applyFont="1" applyFill="1" applyBorder="1"/>
    <xf numFmtId="3" fontId="18" fillId="2" borderId="53" xfId="0" applyNumberFormat="1" applyFont="1" applyFill="1" applyBorder="1" applyAlignment="1">
      <alignment horizontal="center"/>
    </xf>
    <xf numFmtId="0" fontId="15" fillId="0" borderId="52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/>
    </xf>
    <xf numFmtId="3" fontId="18" fillId="2" borderId="56" xfId="0" applyNumberFormat="1" applyFont="1" applyFill="1" applyBorder="1" applyAlignment="1">
      <alignment horizontal="center"/>
    </xf>
    <xf numFmtId="0" fontId="8" fillId="0" borderId="42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6" fontId="14" fillId="2" borderId="31" xfId="1" applyNumberFormat="1" applyFont="1" applyFill="1" applyBorder="1" applyAlignment="1">
      <alignment horizontal="center"/>
    </xf>
    <xf numFmtId="166" fontId="14" fillId="2" borderId="8" xfId="1" applyNumberFormat="1" applyFont="1" applyFill="1" applyBorder="1" applyAlignment="1">
      <alignment horizontal="center"/>
    </xf>
    <xf numFmtId="166" fontId="8" fillId="2" borderId="19" xfId="1" applyNumberFormat="1" applyFont="1" applyFill="1" applyBorder="1"/>
    <xf numFmtId="166" fontId="0" fillId="0" borderId="0" xfId="1" applyNumberFormat="1" applyFont="1"/>
    <xf numFmtId="166" fontId="15" fillId="0" borderId="51" xfId="1" applyNumberFormat="1" applyFont="1" applyBorder="1" applyAlignment="1">
      <alignment horizontal="center" vertical="center" wrapText="1"/>
    </xf>
    <xf numFmtId="166" fontId="6" fillId="0" borderId="0" xfId="1" applyNumberFormat="1" applyFont="1" applyAlignment="1">
      <alignment vertical="center" wrapText="1"/>
    </xf>
    <xf numFmtId="166" fontId="7" fillId="0" borderId="0" xfId="1" applyNumberFormat="1" applyFont="1"/>
    <xf numFmtId="0" fontId="13" fillId="5" borderId="4" xfId="0" applyFont="1" applyFill="1" applyBorder="1"/>
    <xf numFmtId="0" fontId="13" fillId="5" borderId="4" xfId="0" applyFont="1" applyFill="1" applyBorder="1" applyAlignment="1">
      <alignment horizontal="center"/>
    </xf>
    <xf numFmtId="166" fontId="15" fillId="0" borderId="41" xfId="1" applyNumberFormat="1" applyFont="1" applyBorder="1"/>
    <xf numFmtId="166" fontId="15" fillId="0" borderId="40" xfId="1" applyNumberFormat="1" applyFont="1" applyBorder="1" applyAlignment="1">
      <alignment horizontal="right"/>
    </xf>
    <xf numFmtId="166" fontId="13" fillId="0" borderId="5" xfId="1" applyNumberFormat="1" applyFont="1" applyFill="1" applyBorder="1"/>
    <xf numFmtId="0" fontId="47" fillId="0" borderId="11" xfId="0" applyFont="1" applyBorder="1" applyAlignment="1">
      <alignment horizontal="left" vertical="center"/>
    </xf>
    <xf numFmtId="166" fontId="6" fillId="0" borderId="11" xfId="0" applyNumberFormat="1" applyFont="1" applyBorder="1"/>
    <xf numFmtId="3" fontId="39" fillId="5" borderId="21" xfId="0" applyNumberFormat="1" applyFont="1" applyFill="1" applyBorder="1"/>
    <xf numFmtId="3" fontId="39" fillId="5" borderId="9" xfId="0" applyNumberFormat="1" applyFont="1" applyFill="1" applyBorder="1"/>
    <xf numFmtId="3" fontId="40" fillId="5" borderId="10" xfId="0" applyNumberFormat="1" applyFont="1" applyFill="1" applyBorder="1"/>
    <xf numFmtId="3" fontId="39" fillId="5" borderId="22" xfId="0" applyNumberFormat="1" applyFont="1" applyFill="1" applyBorder="1"/>
    <xf numFmtId="3" fontId="39" fillId="5" borderId="8" xfId="0" applyNumberFormat="1" applyFont="1" applyFill="1" applyBorder="1"/>
    <xf numFmtId="3" fontId="40" fillId="5" borderId="11" xfId="0" applyNumberFormat="1" applyFont="1" applyFill="1" applyBorder="1"/>
    <xf numFmtId="0" fontId="44" fillId="2" borderId="34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/>
    <xf numFmtId="3" fontId="39" fillId="0" borderId="61" xfId="0" applyNumberFormat="1" applyFont="1" applyFill="1" applyBorder="1"/>
    <xf numFmtId="3" fontId="39" fillId="0" borderId="62" xfId="0" applyNumberFormat="1" applyFont="1" applyFill="1" applyBorder="1"/>
    <xf numFmtId="3" fontId="40" fillId="0" borderId="63" xfId="0" applyNumberFormat="1" applyFont="1" applyFill="1" applyBorder="1"/>
    <xf numFmtId="3" fontId="39" fillId="0" borderId="0" xfId="0" applyNumberFormat="1" applyFont="1" applyFill="1" applyBorder="1"/>
    <xf numFmtId="3" fontId="39" fillId="0" borderId="63" xfId="0" applyNumberFormat="1" applyFont="1" applyFill="1" applyBorder="1"/>
    <xf numFmtId="3" fontId="40" fillId="0" borderId="61" xfId="0" applyNumberFormat="1" applyFont="1" applyFill="1" applyBorder="1"/>
    <xf numFmtId="3" fontId="41" fillId="0" borderId="63" xfId="0" applyNumberFormat="1" applyFont="1" applyFill="1" applyBorder="1"/>
    <xf numFmtId="3" fontId="42" fillId="0" borderId="63" xfId="0" applyNumberFormat="1" applyFont="1" applyFill="1" applyBorder="1"/>
    <xf numFmtId="3" fontId="24" fillId="0" borderId="41" xfId="0" applyNumberFormat="1" applyFont="1" applyFill="1" applyBorder="1"/>
    <xf numFmtId="0" fontId="44" fillId="2" borderId="64" xfId="0" applyFont="1" applyFill="1" applyBorder="1" applyAlignment="1">
      <alignment vertical="center" wrapText="1"/>
    </xf>
    <xf numFmtId="3" fontId="39" fillId="2" borderId="36" xfId="0" applyNumberFormat="1" applyFont="1" applyFill="1" applyBorder="1"/>
    <xf numFmtId="3" fontId="39" fillId="2" borderId="10" xfId="0" applyNumberFormat="1" applyFont="1" applyFill="1" applyBorder="1"/>
    <xf numFmtId="3" fontId="33" fillId="2" borderId="21" xfId="0" applyNumberFormat="1" applyFont="1" applyFill="1" applyBorder="1"/>
    <xf numFmtId="3" fontId="41" fillId="2" borderId="10" xfId="0" applyNumberFormat="1" applyFont="1" applyFill="1" applyBorder="1"/>
    <xf numFmtId="3" fontId="42" fillId="2" borderId="10" xfId="0" applyNumberFormat="1" applyFont="1" applyFill="1" applyBorder="1"/>
    <xf numFmtId="0" fontId="44" fillId="2" borderId="1" xfId="0" applyFont="1" applyFill="1" applyBorder="1" applyAlignment="1">
      <alignment horizontal="center" vertical="center" wrapText="1"/>
    </xf>
    <xf numFmtId="3" fontId="24" fillId="0" borderId="2" xfId="0" applyNumberFormat="1" applyFont="1" applyFill="1" applyBorder="1"/>
    <xf numFmtId="3" fontId="24" fillId="5" borderId="9" xfId="0" applyNumberFormat="1" applyFont="1" applyFill="1" applyBorder="1"/>
    <xf numFmtId="3" fontId="24" fillId="0" borderId="10" xfId="0" applyNumberFormat="1" applyFont="1" applyFill="1" applyBorder="1"/>
    <xf numFmtId="3" fontId="24" fillId="0" borderId="21" xfId="0" applyNumberFormat="1" applyFont="1" applyFill="1" applyBorder="1"/>
    <xf numFmtId="3" fontId="24" fillId="0" borderId="25" xfId="0" applyNumberFormat="1" applyFont="1" applyFill="1" applyBorder="1"/>
    <xf numFmtId="3" fontId="24" fillId="0" borderId="26" xfId="0" applyNumberFormat="1" applyFont="1" applyFill="1" applyBorder="1"/>
    <xf numFmtId="3" fontId="24" fillId="0" borderId="24" xfId="0" applyNumberFormat="1" applyFont="1" applyFill="1" applyBorder="1"/>
    <xf numFmtId="3" fontId="40" fillId="2" borderId="25" xfId="0" applyNumberFormat="1" applyFont="1" applyFill="1" applyBorder="1"/>
    <xf numFmtId="3" fontId="41" fillId="2" borderId="25" xfId="0" applyNumberFormat="1" applyFont="1" applyFill="1" applyBorder="1"/>
    <xf numFmtId="3" fontId="40" fillId="2" borderId="25" xfId="0" applyNumberFormat="1" applyFont="1" applyFill="1" applyBorder="1" applyAlignment="1">
      <alignment horizontal="right"/>
    </xf>
    <xf numFmtId="3" fontId="42" fillId="2" borderId="25" xfId="0" applyNumberFormat="1" applyFont="1" applyFill="1" applyBorder="1"/>
    <xf numFmtId="3" fontId="42" fillId="2" borderId="25" xfId="0" applyNumberFormat="1" applyFont="1" applyFill="1" applyBorder="1" applyAlignment="1">
      <alignment horizontal="right"/>
    </xf>
    <xf numFmtId="3" fontId="39" fillId="0" borderId="26" xfId="0" applyNumberFormat="1" applyFont="1" applyFill="1" applyBorder="1"/>
    <xf numFmtId="3" fontId="24" fillId="0" borderId="3" xfId="0" applyNumberFormat="1" applyFont="1" applyFill="1" applyBorder="1"/>
    <xf numFmtId="3" fontId="24" fillId="2" borderId="55" xfId="0" applyNumberFormat="1" applyFont="1" applyFill="1" applyBorder="1"/>
    <xf numFmtId="3" fontId="24" fillId="0" borderId="12" xfId="0" applyNumberFormat="1" applyFont="1" applyFill="1" applyBorder="1"/>
    <xf numFmtId="3" fontId="24" fillId="2" borderId="64" xfId="0" applyNumberFormat="1" applyFont="1" applyFill="1" applyBorder="1"/>
    <xf numFmtId="3" fontId="24" fillId="2" borderId="35" xfId="0" applyNumberFormat="1" applyFont="1" applyFill="1" applyBorder="1"/>
    <xf numFmtId="3" fontId="23" fillId="2" borderId="41" xfId="0" applyNumberFormat="1" applyFont="1" applyFill="1" applyBorder="1" applyAlignment="1">
      <alignment wrapText="1"/>
    </xf>
    <xf numFmtId="166" fontId="13" fillId="5" borderId="12" xfId="1" applyNumberFormat="1" applyFont="1" applyFill="1" applyBorder="1"/>
    <xf numFmtId="166" fontId="13" fillId="5" borderId="2" xfId="1" applyNumberFormat="1" applyFont="1" applyFill="1" applyBorder="1"/>
    <xf numFmtId="166" fontId="13" fillId="5" borderId="3" xfId="1" applyNumberFormat="1" applyFont="1" applyFill="1" applyBorder="1"/>
    <xf numFmtId="166" fontId="15" fillId="5" borderId="1" xfId="1" applyNumberFormat="1" applyFont="1" applyFill="1" applyBorder="1"/>
    <xf numFmtId="166" fontId="13" fillId="5" borderId="5" xfId="1" applyNumberFormat="1" applyFont="1" applyFill="1" applyBorder="1"/>
    <xf numFmtId="166" fontId="13" fillId="5" borderId="6" xfId="1" applyNumberFormat="1" applyFont="1" applyFill="1" applyBorder="1"/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  <xf numFmtId="1" fontId="6" fillId="0" borderId="53" xfId="0" applyNumberFormat="1" applyFont="1" applyBorder="1" applyAlignment="1">
      <alignment horizontal="center"/>
    </xf>
    <xf numFmtId="0" fontId="46" fillId="0" borderId="31" xfId="0" applyFont="1" applyBorder="1" applyAlignment="1">
      <alignment horizontal="left" vertical="center" wrapText="1"/>
    </xf>
    <xf numFmtId="1" fontId="6" fillId="0" borderId="30" xfId="0" applyNumberFormat="1" applyFont="1" applyBorder="1" applyAlignment="1">
      <alignment horizontal="center"/>
    </xf>
    <xf numFmtId="0" fontId="46" fillId="0" borderId="22" xfId="0" applyFont="1" applyBorder="1" applyAlignment="1">
      <alignment horizontal="left" vertical="center" wrapText="1"/>
    </xf>
    <xf numFmtId="166" fontId="0" fillId="0" borderId="22" xfId="0" applyNumberFormat="1" applyBorder="1"/>
    <xf numFmtId="1" fontId="0" fillId="0" borderId="65" xfId="0" applyNumberFormat="1" applyBorder="1" applyAlignment="1">
      <alignment horizontal="center"/>
    </xf>
    <xf numFmtId="0" fontId="22" fillId="0" borderId="66" xfId="0" applyFont="1" applyBorder="1" applyAlignment="1">
      <alignment vertical="center" wrapText="1"/>
    </xf>
    <xf numFmtId="0" fontId="45" fillId="0" borderId="33" xfId="0" applyFont="1" applyBorder="1"/>
    <xf numFmtId="1" fontId="45" fillId="0" borderId="67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166" fontId="8" fillId="2" borderId="69" xfId="1" applyNumberFormat="1" applyFont="1" applyFill="1" applyBorder="1" applyAlignment="1">
      <alignment horizontal="center"/>
    </xf>
    <xf numFmtId="166" fontId="8" fillId="2" borderId="68" xfId="1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center"/>
    </xf>
    <xf numFmtId="0" fontId="15" fillId="0" borderId="41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7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center"/>
    </xf>
    <xf numFmtId="3" fontId="18" fillId="2" borderId="35" xfId="0" applyNumberFormat="1" applyFont="1" applyFill="1" applyBorder="1" applyAlignment="1">
      <alignment horizontal="center"/>
    </xf>
    <xf numFmtId="166" fontId="8" fillId="2" borderId="59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66" fontId="8" fillId="2" borderId="0" xfId="1" applyNumberFormat="1" applyFont="1" applyFill="1" applyBorder="1" applyAlignment="1">
      <alignment horizontal="center"/>
    </xf>
    <xf numFmtId="166" fontId="8" fillId="2" borderId="23" xfId="1" applyNumberFormat="1" applyFont="1" applyFill="1" applyBorder="1" applyAlignment="1">
      <alignment horizontal="center"/>
    </xf>
    <xf numFmtId="3" fontId="18" fillId="2" borderId="23" xfId="0" applyNumberFormat="1" applyFont="1" applyFill="1" applyBorder="1" applyAlignment="1">
      <alignment horizontal="center"/>
    </xf>
    <xf numFmtId="0" fontId="45" fillId="0" borderId="67" xfId="0" applyFont="1" applyBorder="1" applyAlignment="1">
      <alignment horizontal="center"/>
    </xf>
    <xf numFmtId="3" fontId="39" fillId="0" borderId="24" xfId="0" applyNumberFormat="1" applyFont="1" applyFill="1" applyBorder="1"/>
    <xf numFmtId="3" fontId="23" fillId="0" borderId="23" xfId="0" applyNumberFormat="1" applyFont="1" applyFill="1" applyBorder="1" applyAlignment="1">
      <alignment wrapText="1"/>
    </xf>
    <xf numFmtId="3" fontId="24" fillId="0" borderId="36" xfId="0" applyNumberFormat="1" applyFont="1" applyFill="1" applyBorder="1"/>
    <xf numFmtId="3" fontId="24" fillId="0" borderId="37" xfId="0" applyNumberFormat="1" applyFont="1" applyFill="1" applyBorder="1"/>
    <xf numFmtId="3" fontId="24" fillId="0" borderId="38" xfId="0" applyNumberFormat="1" applyFont="1" applyFill="1" applyBorder="1"/>
    <xf numFmtId="3" fontId="24" fillId="0" borderId="23" xfId="0" applyNumberFormat="1" applyFont="1" applyFill="1" applyBorder="1"/>
    <xf numFmtId="3" fontId="24" fillId="2" borderId="36" xfId="0" applyNumberFormat="1" applyFont="1" applyFill="1" applyBorder="1"/>
    <xf numFmtId="3" fontId="24" fillId="2" borderId="37" xfId="0" applyNumberFormat="1" applyFont="1" applyFill="1" applyBorder="1"/>
    <xf numFmtId="3" fontId="24" fillId="2" borderId="38" xfId="0" applyNumberFormat="1" applyFont="1" applyFill="1" applyBorder="1"/>
    <xf numFmtId="3" fontId="24" fillId="5" borderId="27" xfId="0" applyNumberFormat="1" applyFont="1" applyFill="1" applyBorder="1"/>
    <xf numFmtId="3" fontId="24" fillId="0" borderId="59" xfId="0" applyNumberFormat="1" applyFont="1" applyFill="1" applyBorder="1"/>
    <xf numFmtId="3" fontId="24" fillId="0" borderId="15" xfId="0" applyNumberFormat="1" applyFont="1" applyFill="1" applyBorder="1"/>
    <xf numFmtId="3" fontId="24" fillId="5" borderId="21" xfId="0" applyNumberFormat="1" applyFont="1" applyFill="1" applyBorder="1"/>
    <xf numFmtId="3" fontId="24" fillId="2" borderId="51" xfId="0" applyNumberFormat="1" applyFont="1" applyFill="1" applyBorder="1"/>
    <xf numFmtId="3" fontId="24" fillId="2" borderId="15" xfId="0" applyNumberFormat="1" applyFont="1" applyFill="1" applyBorder="1"/>
    <xf numFmtId="3" fontId="39" fillId="0" borderId="1" xfId="0" applyNumberFormat="1" applyFont="1" applyFill="1" applyBorder="1"/>
    <xf numFmtId="3" fontId="39" fillId="0" borderId="12" xfId="0" applyNumberFormat="1" applyFont="1" applyFill="1" applyBorder="1"/>
    <xf numFmtId="3" fontId="39" fillId="0" borderId="2" xfId="0" applyNumberFormat="1" applyFont="1" applyFill="1" applyBorder="1"/>
    <xf numFmtId="3" fontId="39" fillId="0" borderId="3" xfId="0" applyNumberFormat="1" applyFont="1" applyFill="1" applyBorder="1"/>
    <xf numFmtId="0" fontId="46" fillId="0" borderId="68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0" fillId="5" borderId="0" xfId="0" applyFill="1"/>
    <xf numFmtId="166" fontId="0" fillId="5" borderId="0" xfId="0" applyNumberFormat="1" applyFill="1"/>
    <xf numFmtId="166" fontId="13" fillId="5" borderId="0" xfId="1" applyNumberFormat="1" applyFont="1" applyFill="1" applyBorder="1"/>
    <xf numFmtId="0" fontId="15" fillId="0" borderId="4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60" xfId="0" applyFont="1" applyBorder="1" applyAlignment="1">
      <alignment vertical="center" wrapText="1"/>
    </xf>
    <xf numFmtId="0" fontId="15" fillId="0" borderId="66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166" fontId="8" fillId="0" borderId="64" xfId="1" applyNumberFormat="1" applyFont="1" applyBorder="1"/>
    <xf numFmtId="166" fontId="8" fillId="0" borderId="13" xfId="1" applyNumberFormat="1" applyFont="1" applyBorder="1"/>
    <xf numFmtId="0" fontId="14" fillId="0" borderId="0" xfId="16"/>
    <xf numFmtId="0" fontId="14" fillId="0" borderId="0" xfId="16" applyAlignment="1"/>
    <xf numFmtId="0" fontId="50" fillId="0" borderId="0" xfId="16" applyFont="1" applyAlignment="1">
      <alignment horizontal="center"/>
    </xf>
    <xf numFmtId="168" fontId="14" fillId="0" borderId="0" xfId="4" applyNumberFormat="1" applyFont="1" applyFill="1" applyBorder="1" applyAlignment="1" applyProtection="1"/>
    <xf numFmtId="0" fontId="48" fillId="0" borderId="73" xfId="16" applyFont="1" applyBorder="1" applyAlignment="1">
      <alignment wrapText="1"/>
    </xf>
    <xf numFmtId="0" fontId="48" fillId="0" borderId="74" xfId="16" applyFont="1" applyBorder="1" applyAlignment="1">
      <alignment horizontal="center"/>
    </xf>
    <xf numFmtId="168" fontId="48" fillId="0" borderId="75" xfId="4" applyNumberFormat="1" applyFont="1" applyFill="1" applyBorder="1" applyAlignment="1" applyProtection="1"/>
    <xf numFmtId="0" fontId="49" fillId="0" borderId="76" xfId="16" applyFont="1" applyBorder="1"/>
    <xf numFmtId="0" fontId="49" fillId="0" borderId="77" xfId="16" applyFont="1" applyBorder="1"/>
    <xf numFmtId="168" fontId="49" fillId="0" borderId="78" xfId="4" applyNumberFormat="1" applyFont="1" applyFill="1" applyBorder="1" applyAlignment="1" applyProtection="1"/>
    <xf numFmtId="0" fontId="49" fillId="0" borderId="79" xfId="16" applyFont="1" applyBorder="1"/>
    <xf numFmtId="0" fontId="49" fillId="0" borderId="80" xfId="16" applyFont="1" applyBorder="1"/>
    <xf numFmtId="168" fontId="49" fillId="0" borderId="81" xfId="4" applyNumberFormat="1" applyFont="1" applyFill="1" applyBorder="1" applyAlignment="1" applyProtection="1"/>
    <xf numFmtId="0" fontId="48" fillId="0" borderId="82" xfId="16" applyFont="1" applyBorder="1"/>
    <xf numFmtId="0" fontId="48" fillId="0" borderId="83" xfId="16" applyFont="1" applyBorder="1"/>
    <xf numFmtId="168" fontId="48" fillId="0" borderId="84" xfId="4" applyNumberFormat="1" applyFont="1" applyFill="1" applyBorder="1" applyAlignment="1" applyProtection="1"/>
    <xf numFmtId="0" fontId="52" fillId="0" borderId="0" xfId="16" applyFont="1"/>
    <xf numFmtId="0" fontId="49" fillId="0" borderId="85" xfId="16" applyFont="1" applyBorder="1"/>
    <xf numFmtId="0" fontId="49" fillId="0" borderId="86" xfId="16" applyFont="1" applyBorder="1"/>
    <xf numFmtId="168" fontId="49" fillId="0" borderId="87" xfId="4" applyNumberFormat="1" applyFont="1" applyFill="1" applyBorder="1" applyAlignment="1" applyProtection="1"/>
    <xf numFmtId="0" fontId="14" fillId="0" borderId="0" xfId="16" applyFont="1"/>
    <xf numFmtId="0" fontId="54" fillId="0" borderId="0" xfId="16" applyFont="1"/>
    <xf numFmtId="0" fontId="49" fillId="0" borderId="45" xfId="16" applyFont="1" applyBorder="1"/>
    <xf numFmtId="0" fontId="49" fillId="0" borderId="8" xfId="16" applyFont="1" applyBorder="1"/>
    <xf numFmtId="168" fontId="49" fillId="0" borderId="16" xfId="4" applyNumberFormat="1" applyFont="1" applyFill="1" applyBorder="1" applyAlignment="1" applyProtection="1"/>
    <xf numFmtId="0" fontId="50" fillId="0" borderId="73" xfId="16" applyFont="1" applyBorder="1"/>
    <xf numFmtId="0" fontId="50" fillId="0" borderId="74" xfId="16" applyFont="1" applyBorder="1"/>
    <xf numFmtId="168" fontId="50" fillId="0" borderId="75" xfId="4" applyNumberFormat="1" applyFont="1" applyFill="1" applyBorder="1" applyAlignment="1" applyProtection="1"/>
    <xf numFmtId="0" fontId="50" fillId="0" borderId="82" xfId="16" applyFont="1" applyBorder="1"/>
    <xf numFmtId="168" fontId="50" fillId="0" borderId="84" xfId="4" applyNumberFormat="1" applyFont="1" applyFill="1" applyBorder="1" applyAlignment="1" applyProtection="1"/>
    <xf numFmtId="0" fontId="56" fillId="0" borderId="0" xfId="15"/>
    <xf numFmtId="0" fontId="59" fillId="0" borderId="0" xfId="15" applyFont="1"/>
    <xf numFmtId="0" fontId="60" fillId="0" borderId="0" xfId="15" applyFont="1" applyAlignment="1">
      <alignment horizontal="center" wrapText="1"/>
    </xf>
    <xf numFmtId="166" fontId="62" fillId="0" borderId="31" xfId="3" applyNumberFormat="1" applyFont="1" applyBorder="1" applyAlignment="1">
      <alignment horizontal="center"/>
    </xf>
    <xf numFmtId="166" fontId="62" fillId="0" borderId="32" xfId="3" applyNumberFormat="1" applyFont="1" applyBorder="1" applyAlignment="1">
      <alignment horizontal="center"/>
    </xf>
    <xf numFmtId="166" fontId="62" fillId="0" borderId="8" xfId="3" applyNumberFormat="1" applyFont="1" applyBorder="1" applyAlignment="1">
      <alignment horizontal="center"/>
    </xf>
    <xf numFmtId="166" fontId="62" fillId="0" borderId="16" xfId="3" applyNumberFormat="1" applyFont="1" applyBorder="1" applyAlignment="1">
      <alignment horizontal="center"/>
    </xf>
    <xf numFmtId="166" fontId="62" fillId="0" borderId="8" xfId="3" applyNumberFormat="1" applyFont="1" applyBorder="1"/>
    <xf numFmtId="166" fontId="62" fillId="0" borderId="16" xfId="3" applyNumberFormat="1" applyFont="1" applyBorder="1"/>
    <xf numFmtId="0" fontId="61" fillId="0" borderId="0" xfId="15" applyFont="1" applyAlignment="1">
      <alignment horizontal="center"/>
    </xf>
    <xf numFmtId="0" fontId="59" fillId="0" borderId="0" xfId="16" applyFont="1"/>
    <xf numFmtId="0" fontId="59" fillId="0" borderId="48" xfId="16" applyFont="1" applyBorder="1" applyAlignment="1">
      <alignment horizontal="center"/>
    </xf>
    <xf numFmtId="0" fontId="59" fillId="0" borderId="17" xfId="16" applyFont="1" applyBorder="1" applyAlignment="1">
      <alignment horizontal="center"/>
    </xf>
    <xf numFmtId="0" fontId="59" fillId="0" borderId="30" xfId="16" applyFont="1" applyBorder="1" applyAlignment="1">
      <alignment horizontal="center"/>
    </xf>
    <xf numFmtId="0" fontId="59" fillId="0" borderId="42" xfId="16" applyFont="1" applyBorder="1" applyAlignment="1">
      <alignment horizontal="center"/>
    </xf>
    <xf numFmtId="0" fontId="59" fillId="0" borderId="31" xfId="16" applyFont="1" applyBorder="1"/>
    <xf numFmtId="0" fontId="59" fillId="0" borderId="45" xfId="16" applyFont="1" applyBorder="1" applyAlignment="1">
      <alignment horizontal="center"/>
    </xf>
    <xf numFmtId="0" fontId="59" fillId="0" borderId="8" xfId="16" applyFont="1" applyBorder="1"/>
    <xf numFmtId="0" fontId="62" fillId="0" borderId="8" xfId="16" applyFont="1" applyBorder="1"/>
    <xf numFmtId="166" fontId="64" fillId="0" borderId="88" xfId="16" applyNumberFormat="1" applyFont="1" applyBorder="1"/>
    <xf numFmtId="0" fontId="51" fillId="0" borderId="0" xfId="9"/>
    <xf numFmtId="168" fontId="51" fillId="0" borderId="0" xfId="4" applyNumberFormat="1" applyFill="1" applyBorder="1" applyAlignment="1" applyProtection="1"/>
    <xf numFmtId="0" fontId="5" fillId="0" borderId="0" xfId="9" applyFont="1"/>
    <xf numFmtId="168" fontId="51" fillId="0" borderId="0" xfId="9" applyNumberFormat="1"/>
    <xf numFmtId="0" fontId="70" fillId="0" borderId="0" xfId="9" applyFont="1" applyBorder="1" applyAlignment="1"/>
    <xf numFmtId="0" fontId="70" fillId="0" borderId="0" xfId="9" applyFont="1" applyAlignment="1">
      <alignment horizontal="center"/>
    </xf>
    <xf numFmtId="0" fontId="60" fillId="0" borderId="0" xfId="16" applyFont="1" applyAlignment="1">
      <alignment horizontal="center" wrapText="1"/>
    </xf>
    <xf numFmtId="0" fontId="64" fillId="0" borderId="0" xfId="16" applyFont="1" applyAlignment="1">
      <alignment horizontal="right"/>
    </xf>
    <xf numFmtId="0" fontId="71" fillId="0" borderId="0" xfId="16" applyFont="1"/>
    <xf numFmtId="0" fontId="64" fillId="0" borderId="0" xfId="16" applyFont="1" applyAlignment="1">
      <alignment horizontal="justify"/>
    </xf>
    <xf numFmtId="0" fontId="50" fillId="0" borderId="0" xfId="16" applyFont="1" applyBorder="1" applyAlignment="1">
      <alignment horizontal="center"/>
    </xf>
    <xf numFmtId="0" fontId="60" fillId="0" borderId="8" xfId="15" applyFont="1" applyBorder="1" applyAlignment="1">
      <alignment vertical="center" wrapText="1"/>
    </xf>
    <xf numFmtId="0" fontId="60" fillId="0" borderId="16" xfId="15" applyFont="1" applyBorder="1" applyAlignment="1">
      <alignment vertical="center" wrapText="1"/>
    </xf>
    <xf numFmtId="0" fontId="59" fillId="0" borderId="48" xfId="15" applyFont="1" applyBorder="1" applyAlignment="1">
      <alignment horizontal="center"/>
    </xf>
    <xf numFmtId="0" fontId="59" fillId="0" borderId="17" xfId="15" applyFont="1" applyBorder="1" applyAlignment="1">
      <alignment horizontal="center"/>
    </xf>
    <xf numFmtId="0" fontId="59" fillId="0" borderId="30" xfId="15" applyFont="1" applyBorder="1" applyAlignment="1">
      <alignment horizontal="center"/>
    </xf>
    <xf numFmtId="0" fontId="59" fillId="0" borderId="42" xfId="15" applyFont="1" applyBorder="1" applyAlignment="1">
      <alignment horizontal="center"/>
    </xf>
    <xf numFmtId="0" fontId="59" fillId="0" borderId="31" xfId="15" applyFont="1" applyBorder="1"/>
    <xf numFmtId="0" fontId="59" fillId="0" borderId="45" xfId="15" applyFont="1" applyBorder="1" applyAlignment="1">
      <alignment horizontal="center"/>
    </xf>
    <xf numFmtId="0" fontId="59" fillId="0" borderId="8" xfId="15" applyFont="1" applyBorder="1"/>
    <xf numFmtId="0" fontId="62" fillId="0" borderId="8" xfId="15" applyFont="1" applyBorder="1"/>
    <xf numFmtId="0" fontId="62" fillId="0" borderId="16" xfId="15" applyFont="1" applyBorder="1"/>
    <xf numFmtId="0" fontId="59" fillId="0" borderId="52" xfId="15" applyFont="1" applyBorder="1" applyAlignment="1">
      <alignment horizontal="center"/>
    </xf>
    <xf numFmtId="0" fontId="59" fillId="0" borderId="11" xfId="15" applyFont="1" applyBorder="1"/>
    <xf numFmtId="166" fontId="59" fillId="0" borderId="11" xfId="3" applyNumberFormat="1" applyFont="1" applyBorder="1"/>
    <xf numFmtId="166" fontId="63" fillId="0" borderId="19" xfId="3" applyNumberFormat="1" applyFont="1" applyBorder="1"/>
    <xf numFmtId="166" fontId="63" fillId="0" borderId="56" xfId="3" applyNumberFormat="1" applyFont="1" applyBorder="1"/>
    <xf numFmtId="0" fontId="62" fillId="0" borderId="42" xfId="15" applyFont="1" applyBorder="1" applyAlignment="1">
      <alignment horizontal="center"/>
    </xf>
    <xf numFmtId="0" fontId="62" fillId="0" borderId="31" xfId="15" applyFont="1" applyBorder="1"/>
    <xf numFmtId="0" fontId="59" fillId="0" borderId="32" xfId="15" applyFont="1" applyBorder="1"/>
    <xf numFmtId="0" fontId="62" fillId="0" borderId="52" xfId="15" applyFont="1" applyBorder="1" applyAlignment="1">
      <alignment horizontal="center"/>
    </xf>
    <xf numFmtId="0" fontId="62" fillId="0" borderId="11" xfId="15" applyFont="1" applyBorder="1"/>
    <xf numFmtId="0" fontId="59" fillId="0" borderId="53" xfId="15" applyFont="1" applyBorder="1"/>
    <xf numFmtId="0" fontId="59" fillId="0" borderId="19" xfId="15" applyFont="1" applyBorder="1"/>
    <xf numFmtId="0" fontId="59" fillId="0" borderId="56" xfId="15" applyFont="1" applyBorder="1"/>
    <xf numFmtId="166" fontId="64" fillId="0" borderId="88" xfId="15" applyNumberFormat="1" applyFont="1" applyBorder="1"/>
    <xf numFmtId="0" fontId="60" fillId="0" borderId="8" xfId="16" applyFont="1" applyBorder="1" applyAlignment="1">
      <alignment vertical="center" wrapText="1"/>
    </xf>
    <xf numFmtId="0" fontId="60" fillId="0" borderId="16" xfId="16" applyFont="1" applyBorder="1" applyAlignment="1">
      <alignment vertical="center" wrapText="1"/>
    </xf>
    <xf numFmtId="0" fontId="59" fillId="0" borderId="52" xfId="16" applyFont="1" applyBorder="1" applyAlignment="1">
      <alignment horizontal="center"/>
    </xf>
    <xf numFmtId="0" fontId="59" fillId="0" borderId="11" xfId="16" applyFont="1" applyBorder="1"/>
    <xf numFmtId="0" fontId="62" fillId="0" borderId="42" xfId="16" applyFont="1" applyBorder="1" applyAlignment="1">
      <alignment horizontal="center"/>
    </xf>
    <xf numFmtId="0" fontId="62" fillId="0" borderId="31" xfId="16" applyFont="1" applyBorder="1"/>
    <xf numFmtId="0" fontId="59" fillId="0" borderId="32" xfId="16" applyFont="1" applyBorder="1"/>
    <xf numFmtId="0" fontId="62" fillId="0" borderId="52" xfId="16" applyFont="1" applyBorder="1" applyAlignment="1">
      <alignment horizontal="center"/>
    </xf>
    <xf numFmtId="0" fontId="62" fillId="0" borderId="11" xfId="16" applyFont="1" applyBorder="1"/>
    <xf numFmtId="0" fontId="59" fillId="0" borderId="53" xfId="16" applyFont="1" applyBorder="1"/>
    <xf numFmtId="0" fontId="59" fillId="0" borderId="19" xfId="16" applyFont="1" applyBorder="1"/>
    <xf numFmtId="0" fontId="59" fillId="0" borderId="56" xfId="16" applyFont="1" applyBorder="1"/>
    <xf numFmtId="0" fontId="75" fillId="0" borderId="55" xfId="14" applyFont="1" applyFill="1" applyBorder="1" applyAlignment="1" applyProtection="1">
      <alignment vertical="center" wrapText="1"/>
    </xf>
    <xf numFmtId="0" fontId="50" fillId="0" borderId="0" xfId="14" applyFont="1" applyFill="1" applyAlignment="1">
      <alignment horizontal="center" vertical="center"/>
    </xf>
    <xf numFmtId="0" fontId="49" fillId="0" borderId="0" xfId="14" applyFill="1"/>
    <xf numFmtId="0" fontId="84" fillId="0" borderId="66" xfId="14" applyFont="1" applyFill="1" applyBorder="1" applyAlignment="1">
      <alignment horizontal="center" vertical="center"/>
    </xf>
    <xf numFmtId="0" fontId="80" fillId="0" borderId="33" xfId="13" applyFont="1" applyFill="1" applyBorder="1" applyAlignment="1" applyProtection="1">
      <alignment horizontal="center" vertical="center" textRotation="90"/>
    </xf>
    <xf numFmtId="0" fontId="84" fillId="0" borderId="33" xfId="14" applyFont="1" applyFill="1" applyBorder="1" applyAlignment="1">
      <alignment horizontal="center" vertical="center" wrapText="1"/>
    </xf>
    <xf numFmtId="0" fontId="84" fillId="0" borderId="55" xfId="14" applyFont="1" applyFill="1" applyBorder="1" applyAlignment="1">
      <alignment horizontal="center" vertical="center"/>
    </xf>
    <xf numFmtId="0" fontId="84" fillId="0" borderId="19" xfId="14" applyFont="1" applyFill="1" applyBorder="1" applyAlignment="1">
      <alignment horizontal="center" vertical="center" wrapText="1"/>
    </xf>
    <xf numFmtId="0" fontId="76" fillId="0" borderId="45" xfId="14" applyFont="1" applyFill="1" applyBorder="1" applyProtection="1">
      <protection locked="0"/>
    </xf>
    <xf numFmtId="0" fontId="76" fillId="0" borderId="22" xfId="14" applyFont="1" applyFill="1" applyBorder="1" applyAlignment="1">
      <alignment horizontal="right" indent="1"/>
    </xf>
    <xf numFmtId="0" fontId="76" fillId="0" borderId="8" xfId="14" applyFont="1" applyFill="1" applyBorder="1" applyAlignment="1">
      <alignment horizontal="right" indent="1"/>
    </xf>
    <xf numFmtId="0" fontId="76" fillId="0" borderId="52" xfId="14" applyFont="1" applyFill="1" applyBorder="1" applyProtection="1">
      <protection locked="0"/>
    </xf>
    <xf numFmtId="0" fontId="76" fillId="0" borderId="11" xfId="14" applyFont="1" applyFill="1" applyBorder="1" applyAlignment="1">
      <alignment horizontal="right" indent="1"/>
    </xf>
    <xf numFmtId="0" fontId="75" fillId="0" borderId="55" xfId="14" applyFont="1" applyFill="1" applyBorder="1" applyProtection="1">
      <protection locked="0"/>
    </xf>
    <xf numFmtId="0" fontId="76" fillId="0" borderId="19" xfId="14" applyFont="1" applyFill="1" applyBorder="1" applyAlignment="1">
      <alignment horizontal="right" indent="1"/>
    </xf>
    <xf numFmtId="0" fontId="76" fillId="0" borderId="89" xfId="14" applyFont="1" applyFill="1" applyBorder="1" applyProtection="1">
      <protection locked="0"/>
    </xf>
    <xf numFmtId="0" fontId="85" fillId="0" borderId="0" xfId="14" applyFont="1" applyFill="1"/>
    <xf numFmtId="3" fontId="76" fillId="0" borderId="22" xfId="14" applyNumberFormat="1" applyFont="1" applyFill="1" applyBorder="1" applyAlignment="1" applyProtection="1">
      <alignment horizontal="center"/>
      <protection locked="0"/>
    </xf>
    <xf numFmtId="3" fontId="76" fillId="0" borderId="8" xfId="14" applyNumberFormat="1" applyFont="1" applyFill="1" applyBorder="1" applyAlignment="1" applyProtection="1">
      <alignment horizontal="center"/>
      <protection locked="0"/>
    </xf>
    <xf numFmtId="3" fontId="76" fillId="0" borderId="11" xfId="14" applyNumberFormat="1" applyFont="1" applyFill="1" applyBorder="1" applyAlignment="1" applyProtection="1">
      <alignment horizontal="center"/>
      <protection locked="0"/>
    </xf>
    <xf numFmtId="0" fontId="76" fillId="0" borderId="48" xfId="14" applyFont="1" applyFill="1" applyBorder="1" applyProtection="1">
      <protection locked="0"/>
    </xf>
    <xf numFmtId="0" fontId="76" fillId="0" borderId="17" xfId="14" applyFont="1" applyFill="1" applyBorder="1" applyAlignment="1">
      <alignment horizontal="right" indent="1"/>
    </xf>
    <xf numFmtId="3" fontId="76" fillId="0" borderId="17" xfId="14" applyNumberFormat="1" applyFont="1" applyFill="1" applyBorder="1" applyAlignment="1" applyProtection="1">
      <alignment horizontal="center"/>
      <protection locked="0"/>
    </xf>
    <xf numFmtId="0" fontId="86" fillId="0" borderId="0" xfId="0" applyFont="1" applyAlignment="1" applyProtection="1">
      <alignment horizontal="right"/>
    </xf>
    <xf numFmtId="0" fontId="0" fillId="0" borderId="0" xfId="0" applyProtection="1"/>
    <xf numFmtId="0" fontId="88" fillId="0" borderId="0" xfId="0" applyFont="1" applyAlignment="1" applyProtection="1">
      <alignment horizontal="center"/>
    </xf>
    <xf numFmtId="0" fontId="88" fillId="0" borderId="19" xfId="0" applyFont="1" applyBorder="1" applyAlignment="1" applyProtection="1">
      <alignment horizontal="center" vertical="center" wrapText="1"/>
    </xf>
    <xf numFmtId="0" fontId="88" fillId="3" borderId="19" xfId="0" applyFont="1" applyFill="1" applyBorder="1" applyAlignment="1" applyProtection="1">
      <alignment horizontal="center" vertical="top" wrapText="1"/>
    </xf>
    <xf numFmtId="0" fontId="67" fillId="0" borderId="0" xfId="0" applyFont="1"/>
    <xf numFmtId="0" fontId="67" fillId="0" borderId="0" xfId="0" applyFont="1" applyBorder="1"/>
    <xf numFmtId="0" fontId="7" fillId="0" borderId="15" xfId="0" applyFont="1" applyBorder="1"/>
    <xf numFmtId="0" fontId="7" fillId="0" borderId="60" xfId="0" applyFont="1" applyBorder="1"/>
    <xf numFmtId="0" fontId="67" fillId="0" borderId="23" xfId="0" applyFont="1" applyBorder="1"/>
    <xf numFmtId="0" fontId="67" fillId="0" borderId="70" xfId="0" applyFont="1" applyBorder="1"/>
    <xf numFmtId="0" fontId="7" fillId="0" borderId="35" xfId="0" applyFont="1" applyBorder="1"/>
    <xf numFmtId="0" fontId="67" fillId="0" borderId="15" xfId="0" applyFont="1" applyBorder="1" applyAlignment="1">
      <alignment horizontal="right"/>
    </xf>
    <xf numFmtId="0" fontId="67" fillId="0" borderId="4" xfId="0" applyFont="1" applyBorder="1" applyAlignment="1">
      <alignment horizontal="right"/>
    </xf>
    <xf numFmtId="0" fontId="7" fillId="0" borderId="70" xfId="0" applyFont="1" applyBorder="1"/>
    <xf numFmtId="3" fontId="7" fillId="0" borderId="23" xfId="0" applyNumberFormat="1" applyFont="1" applyBorder="1"/>
    <xf numFmtId="3" fontId="7" fillId="0" borderId="0" xfId="0" applyNumberFormat="1" applyFont="1" applyBorder="1"/>
    <xf numFmtId="3" fontId="7" fillId="0" borderId="70" xfId="0" applyNumberFormat="1" applyFont="1" applyBorder="1"/>
    <xf numFmtId="3" fontId="7" fillId="0" borderId="2" xfId="0" applyNumberFormat="1" applyFont="1" applyBorder="1"/>
    <xf numFmtId="0" fontId="67" fillId="0" borderId="15" xfId="0" applyFont="1" applyBorder="1" applyAlignment="1">
      <alignment horizontal="center"/>
    </xf>
    <xf numFmtId="0" fontId="67" fillId="0" borderId="4" xfId="0" applyFont="1" applyBorder="1" applyAlignment="1">
      <alignment horizontal="center"/>
    </xf>
    <xf numFmtId="0" fontId="67" fillId="0" borderId="23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53" fillId="0" borderId="79" xfId="16" applyFont="1" applyBorder="1"/>
    <xf numFmtId="168" fontId="48" fillId="0" borderId="81" xfId="4" applyNumberFormat="1" applyFont="1" applyFill="1" applyBorder="1" applyAlignment="1" applyProtection="1"/>
    <xf numFmtId="0" fontId="48" fillId="0" borderId="55" xfId="16" applyFont="1" applyBorder="1"/>
    <xf numFmtId="0" fontId="48" fillId="0" borderId="19" xfId="16" applyFont="1" applyBorder="1"/>
    <xf numFmtId="168" fontId="48" fillId="0" borderId="56" xfId="4" applyNumberFormat="1" applyFont="1" applyFill="1" applyBorder="1" applyAlignment="1" applyProtection="1"/>
    <xf numFmtId="0" fontId="48" fillId="0" borderId="89" xfId="16" applyFont="1" applyBorder="1"/>
    <xf numFmtId="0" fontId="48" fillId="0" borderId="22" xfId="16" applyFont="1" applyBorder="1"/>
    <xf numFmtId="168" fontId="48" fillId="0" borderId="65" xfId="4" applyNumberFormat="1" applyFont="1" applyFill="1" applyBorder="1" applyAlignment="1" applyProtection="1"/>
    <xf numFmtId="0" fontId="49" fillId="0" borderId="52" xfId="16" applyFont="1" applyBorder="1"/>
    <xf numFmtId="0" fontId="49" fillId="0" borderId="11" xfId="16" applyFont="1" applyBorder="1"/>
    <xf numFmtId="168" fontId="49" fillId="0" borderId="53" xfId="4" applyNumberFormat="1" applyFont="1" applyFill="1" applyBorder="1" applyAlignment="1" applyProtection="1"/>
    <xf numFmtId="0" fontId="50" fillId="0" borderId="55" xfId="16" applyFont="1" applyBorder="1"/>
    <xf numFmtId="0" fontId="50" fillId="0" borderId="19" xfId="16" applyFont="1" applyBorder="1"/>
    <xf numFmtId="168" fontId="50" fillId="0" borderId="56" xfId="4" applyNumberFormat="1" applyFont="1" applyFill="1" applyBorder="1" applyAlignment="1" applyProtection="1"/>
    <xf numFmtId="0" fontId="49" fillId="0" borderId="89" xfId="16" applyFont="1" applyBorder="1"/>
    <xf numFmtId="0" fontId="49" fillId="0" borderId="22" xfId="16" applyFont="1" applyBorder="1"/>
    <xf numFmtId="168" fontId="49" fillId="0" borderId="65" xfId="4" applyNumberFormat="1" applyFont="1" applyFill="1" applyBorder="1" applyAlignment="1" applyProtection="1"/>
    <xf numFmtId="0" fontId="50" fillId="0" borderId="90" xfId="16" applyFont="1" applyBorder="1"/>
    <xf numFmtId="0" fontId="50" fillId="0" borderId="88" xfId="16" applyFont="1" applyBorder="1"/>
    <xf numFmtId="168" fontId="50" fillId="0" borderId="91" xfId="4" applyNumberFormat="1" applyFont="1" applyFill="1" applyBorder="1" applyAlignment="1" applyProtection="1"/>
    <xf numFmtId="0" fontId="50" fillId="0" borderId="92" xfId="16" applyFont="1" applyBorder="1"/>
    <xf numFmtId="0" fontId="50" fillId="0" borderId="93" xfId="16" applyFont="1" applyBorder="1"/>
    <xf numFmtId="168" fontId="50" fillId="0" borderId="94" xfId="4" applyNumberFormat="1" applyFont="1" applyFill="1" applyBorder="1" applyAlignment="1" applyProtection="1"/>
    <xf numFmtId="166" fontId="13" fillId="5" borderId="1" xfId="1" applyNumberFormat="1" applyFont="1" applyFill="1" applyBorder="1" applyAlignment="1">
      <alignment wrapText="1"/>
    </xf>
    <xf numFmtId="0" fontId="13" fillId="5" borderId="2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73" fillId="0" borderId="0" xfId="16" applyFont="1" applyBorder="1" applyAlignment="1">
      <alignment horizontal="right"/>
    </xf>
    <xf numFmtId="166" fontId="13" fillId="5" borderId="7" xfId="1" applyNumberFormat="1" applyFont="1" applyFill="1" applyBorder="1"/>
    <xf numFmtId="0" fontId="9" fillId="5" borderId="0" xfId="0" applyFont="1" applyFill="1" applyAlignment="1">
      <alignment wrapText="1"/>
    </xf>
    <xf numFmtId="0" fontId="9" fillId="5" borderId="0" xfId="0" applyFont="1" applyFill="1" applyAlignment="1"/>
    <xf numFmtId="166" fontId="15" fillId="5" borderId="41" xfId="1" applyNumberFormat="1" applyFont="1" applyFill="1" applyBorder="1"/>
    <xf numFmtId="166" fontId="15" fillId="5" borderId="59" xfId="1" applyNumberFormat="1" applyFont="1" applyFill="1" applyBorder="1"/>
    <xf numFmtId="166" fontId="15" fillId="5" borderId="60" xfId="1" applyNumberFormat="1" applyFont="1" applyFill="1" applyBorder="1" applyAlignment="1">
      <alignment horizontal="right"/>
    </xf>
    <xf numFmtId="166" fontId="15" fillId="5" borderId="40" xfId="1" applyNumberFormat="1" applyFont="1" applyFill="1" applyBorder="1" applyAlignment="1">
      <alignment horizontal="right"/>
    </xf>
    <xf numFmtId="166" fontId="51" fillId="0" borderId="0" xfId="1" applyNumberFormat="1" applyFont="1"/>
    <xf numFmtId="0" fontId="75" fillId="0" borderId="42" xfId="14" applyFont="1" applyFill="1" applyBorder="1" applyAlignment="1" applyProtection="1">
      <alignment vertical="center" wrapText="1"/>
    </xf>
    <xf numFmtId="0" fontId="75" fillId="0" borderId="45" xfId="14" applyFont="1" applyFill="1" applyBorder="1" applyAlignment="1" applyProtection="1">
      <alignment vertical="center" wrapText="1"/>
    </xf>
    <xf numFmtId="0" fontId="77" fillId="0" borderId="45" xfId="14" applyFont="1" applyFill="1" applyBorder="1" applyAlignment="1" applyProtection="1">
      <alignment horizontal="left" vertical="center" wrapText="1" indent="1"/>
    </xf>
    <xf numFmtId="170" fontId="82" fillId="0" borderId="25" xfId="13" applyNumberFormat="1" applyFont="1" applyFill="1" applyBorder="1" applyAlignment="1" applyProtection="1">
      <alignment horizontal="center" vertical="center"/>
    </xf>
    <xf numFmtId="170" fontId="82" fillId="0" borderId="62" xfId="13" applyNumberFormat="1" applyFont="1" applyFill="1" applyBorder="1" applyAlignment="1" applyProtection="1">
      <alignment horizontal="center" vertical="center"/>
    </xf>
    <xf numFmtId="0" fontId="90" fillId="0" borderId="21" xfId="0" applyFont="1" applyBorder="1" applyAlignment="1" applyProtection="1">
      <alignment horizontal="left" vertical="top" wrapText="1"/>
      <protection locked="0"/>
    </xf>
    <xf numFmtId="0" fontId="90" fillId="0" borderId="9" xfId="0" applyFont="1" applyBorder="1" applyAlignment="1" applyProtection="1">
      <alignment horizontal="left" vertical="top" wrapText="1"/>
      <protection locked="0"/>
    </xf>
    <xf numFmtId="0" fontId="88" fillId="0" borderId="68" xfId="0" applyFont="1" applyBorder="1" applyAlignment="1" applyProtection="1">
      <alignment horizontal="center" vertical="top" wrapText="1"/>
    </xf>
    <xf numFmtId="0" fontId="88" fillId="0" borderId="2" xfId="0" applyFont="1" applyBorder="1" applyAlignment="1" applyProtection="1">
      <alignment horizontal="center" vertical="top" wrapText="1"/>
    </xf>
    <xf numFmtId="0" fontId="90" fillId="0" borderId="9" xfId="0" applyFont="1" applyBorder="1" applyAlignment="1" applyProtection="1">
      <alignment horizontal="left" vertical="center" wrapText="1"/>
      <protection locked="0"/>
    </xf>
    <xf numFmtId="0" fontId="88" fillId="0" borderId="3" xfId="0" applyFont="1" applyBorder="1" applyAlignment="1" applyProtection="1">
      <alignment horizontal="center" vertical="top" wrapText="1"/>
    </xf>
    <xf numFmtId="0" fontId="90" fillId="0" borderId="10" xfId="0" applyFont="1" applyBorder="1" applyAlignment="1" applyProtection="1">
      <alignment horizontal="left" vertical="top" wrapText="1"/>
      <protection locked="0"/>
    </xf>
    <xf numFmtId="0" fontId="0" fillId="0" borderId="16" xfId="0" applyBorder="1"/>
    <xf numFmtId="0" fontId="88" fillId="0" borderId="55" xfId="0" applyFont="1" applyBorder="1" applyAlignment="1" applyProtection="1">
      <alignment horizontal="center" vertical="center" wrapText="1"/>
    </xf>
    <xf numFmtId="0" fontId="88" fillId="0" borderId="56" xfId="0" applyFont="1" applyFill="1" applyBorder="1" applyAlignment="1" applyProtection="1">
      <alignment horizontal="center" vertical="center" wrapText="1"/>
    </xf>
    <xf numFmtId="0" fontId="89" fillId="0" borderId="1" xfId="0" applyFont="1" applyBorder="1" applyAlignment="1" applyProtection="1">
      <alignment horizontal="center" vertical="center" wrapText="1"/>
    </xf>
    <xf numFmtId="0" fontId="0" fillId="0" borderId="53" xfId="0" applyBorder="1"/>
    <xf numFmtId="0" fontId="67" fillId="0" borderId="60" xfId="0" applyFont="1" applyBorder="1" applyAlignment="1">
      <alignment horizontal="right"/>
    </xf>
    <xf numFmtId="0" fontId="68" fillId="0" borderId="60" xfId="0" applyFont="1" applyBorder="1"/>
    <xf numFmtId="0" fontId="7" fillId="0" borderId="4" xfId="0" applyFont="1" applyBorder="1"/>
    <xf numFmtId="0" fontId="68" fillId="0" borderId="55" xfId="0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71" xfId="0" applyFont="1" applyBorder="1"/>
    <xf numFmtId="3" fontId="7" fillId="0" borderId="68" xfId="0" applyNumberFormat="1" applyFont="1" applyBorder="1"/>
    <xf numFmtId="3" fontId="7" fillId="0" borderId="44" xfId="0" applyNumberFormat="1" applyFont="1" applyBorder="1"/>
    <xf numFmtId="3" fontId="7" fillId="0" borderId="95" xfId="0" applyNumberFormat="1" applyFont="1" applyBorder="1"/>
    <xf numFmtId="0" fontId="7" fillId="0" borderId="6" xfId="0" applyFont="1" applyBorder="1" applyAlignment="1">
      <alignment wrapText="1"/>
    </xf>
    <xf numFmtId="3" fontId="7" fillId="0" borderId="46" xfId="0" applyNumberFormat="1" applyFont="1" applyBorder="1"/>
    <xf numFmtId="0" fontId="7" fillId="0" borderId="6" xfId="0" applyFont="1" applyBorder="1"/>
    <xf numFmtId="3" fontId="7" fillId="0" borderId="46" xfId="0" applyNumberFormat="1" applyFont="1" applyBorder="1" applyAlignment="1">
      <alignment wrapText="1"/>
    </xf>
    <xf numFmtId="0" fontId="7" fillId="0" borderId="46" xfId="0" applyFont="1" applyBorder="1"/>
    <xf numFmtId="0" fontId="67" fillId="0" borderId="41" xfId="0" applyFont="1" applyBorder="1"/>
    <xf numFmtId="3" fontId="67" fillId="0" borderId="1" xfId="0" applyNumberFormat="1" applyFont="1" applyBorder="1"/>
    <xf numFmtId="3" fontId="67" fillId="0" borderId="68" xfId="0" applyNumberFormat="1" applyFont="1" applyBorder="1"/>
    <xf numFmtId="3" fontId="7" fillId="0" borderId="37" xfId="0" applyNumberFormat="1" applyFont="1" applyBorder="1"/>
    <xf numFmtId="3" fontId="7" fillId="0" borderId="18" xfId="0" applyNumberFormat="1" applyFont="1" applyBorder="1"/>
    <xf numFmtId="3" fontId="7" fillId="0" borderId="15" xfId="0" applyNumberFormat="1" applyFont="1" applyBorder="1"/>
    <xf numFmtId="3" fontId="7" fillId="0" borderId="4" xfId="0" applyNumberFormat="1" applyFont="1" applyBorder="1"/>
    <xf numFmtId="3" fontId="68" fillId="0" borderId="55" xfId="0" applyNumberFormat="1" applyFont="1" applyBorder="1"/>
    <xf numFmtId="3" fontId="7" fillId="0" borderId="14" xfId="0" applyNumberFormat="1" applyFont="1" applyBorder="1"/>
    <xf numFmtId="3" fontId="7" fillId="0" borderId="1" xfId="0" applyNumberFormat="1" applyFont="1" applyBorder="1"/>
    <xf numFmtId="3" fontId="7" fillId="0" borderId="46" xfId="0" applyNumberFormat="1" applyFont="1" applyFill="1" applyBorder="1"/>
    <xf numFmtId="3" fontId="7" fillId="0" borderId="2" xfId="0" applyNumberFormat="1" applyFont="1" applyFill="1" applyBorder="1" applyAlignment="1"/>
    <xf numFmtId="3" fontId="67" fillId="0" borderId="41" xfId="0" applyNumberFormat="1" applyFont="1" applyBorder="1"/>
    <xf numFmtId="166" fontId="12" fillId="0" borderId="0" xfId="2" applyNumberFormat="1" applyFont="1"/>
    <xf numFmtId="0" fontId="0" fillId="0" borderId="0" xfId="0" applyFill="1" applyAlignment="1"/>
    <xf numFmtId="166" fontId="45" fillId="0" borderId="33" xfId="2" applyNumberFormat="1" applyFont="1" applyBorder="1" applyAlignment="1">
      <alignment horizontal="center"/>
    </xf>
    <xf numFmtId="166" fontId="0" fillId="0" borderId="31" xfId="2" applyNumberFormat="1" applyFont="1" applyBorder="1"/>
    <xf numFmtId="166" fontId="0" fillId="0" borderId="32" xfId="2" applyNumberFormat="1" applyFont="1" applyBorder="1"/>
    <xf numFmtId="166" fontId="0" fillId="0" borderId="8" xfId="2" applyNumberFormat="1" applyFont="1" applyBorder="1"/>
    <xf numFmtId="166" fontId="0" fillId="0" borderId="16" xfId="2" applyNumberFormat="1" applyFont="1" applyBorder="1"/>
    <xf numFmtId="166" fontId="15" fillId="0" borderId="8" xfId="2" applyNumberFormat="1" applyFont="1" applyBorder="1" applyAlignment="1">
      <alignment horizontal="center" vertical="center" wrapText="1"/>
    </xf>
    <xf numFmtId="166" fontId="6" fillId="0" borderId="17" xfId="2" applyNumberFormat="1" applyFont="1" applyBorder="1"/>
    <xf numFmtId="166" fontId="6" fillId="0" borderId="30" xfId="2" applyNumberFormat="1" applyFont="1" applyBorder="1"/>
    <xf numFmtId="166" fontId="0" fillId="0" borderId="22" xfId="2" applyNumberFormat="1" applyFont="1" applyBorder="1"/>
    <xf numFmtId="166" fontId="6" fillId="0" borderId="11" xfId="2" applyNumberFormat="1" applyFont="1" applyBorder="1"/>
    <xf numFmtId="166" fontId="6" fillId="0" borderId="53" xfId="2" applyNumberFormat="1" applyFont="1" applyBorder="1"/>
    <xf numFmtId="166" fontId="6" fillId="0" borderId="31" xfId="2" applyNumberFormat="1" applyFont="1" applyBorder="1"/>
    <xf numFmtId="166" fontId="0" fillId="0" borderId="0" xfId="2" applyNumberFormat="1" applyFont="1"/>
    <xf numFmtId="166" fontId="45" fillId="0" borderId="33" xfId="2" applyNumberFormat="1" applyFont="1" applyBorder="1"/>
    <xf numFmtId="0" fontId="46" fillId="0" borderId="71" xfId="0" applyFont="1" applyBorder="1" applyAlignment="1">
      <alignment horizontal="left" vertical="center" wrapText="1"/>
    </xf>
    <xf numFmtId="166" fontId="0" fillId="0" borderId="42" xfId="0" applyNumberFormat="1" applyFont="1" applyBorder="1"/>
    <xf numFmtId="166" fontId="12" fillId="0" borderId="31" xfId="2" applyNumberFormat="1" applyFont="1" applyBorder="1"/>
    <xf numFmtId="0" fontId="46" fillId="0" borderId="6" xfId="0" applyFont="1" applyBorder="1" applyAlignment="1">
      <alignment horizontal="left" vertical="center" wrapText="1"/>
    </xf>
    <xf numFmtId="166" fontId="0" fillId="0" borderId="45" xfId="0" applyNumberFormat="1" applyFont="1" applyBorder="1"/>
    <xf numFmtId="166" fontId="12" fillId="0" borderId="8" xfId="2" applyNumberFormat="1" applyFont="1" applyBorder="1"/>
    <xf numFmtId="1" fontId="0" fillId="0" borderId="16" xfId="0" applyNumberFormat="1" applyFont="1" applyBorder="1" applyAlignment="1">
      <alignment horizontal="center"/>
    </xf>
    <xf numFmtId="166" fontId="6" fillId="0" borderId="48" xfId="0" applyNumberFormat="1" applyFont="1" applyBorder="1"/>
    <xf numFmtId="0" fontId="47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 wrapText="1"/>
    </xf>
    <xf numFmtId="166" fontId="6" fillId="0" borderId="55" xfId="0" applyNumberFormat="1" applyFont="1" applyBorder="1"/>
    <xf numFmtId="166" fontId="6" fillId="0" borderId="19" xfId="0" applyNumberFormat="1" applyFont="1" applyBorder="1"/>
    <xf numFmtId="1" fontId="6" fillId="0" borderId="56" xfId="0" applyNumberFormat="1" applyFont="1" applyBorder="1" applyAlignment="1">
      <alignment horizontal="center"/>
    </xf>
    <xf numFmtId="0" fontId="47" fillId="0" borderId="1" xfId="0" applyFont="1" applyBorder="1" applyAlignment="1">
      <alignment horizontal="left" vertical="center"/>
    </xf>
    <xf numFmtId="1" fontId="0" fillId="0" borderId="32" xfId="0" applyNumberFormat="1" applyFont="1" applyBorder="1" applyAlignment="1">
      <alignment horizontal="center"/>
    </xf>
    <xf numFmtId="166" fontId="6" fillId="0" borderId="55" xfId="2" applyNumberFormat="1" applyFont="1" applyBorder="1"/>
    <xf numFmtId="0" fontId="46" fillId="0" borderId="23" xfId="0" applyFont="1" applyBorder="1" applyAlignment="1">
      <alignment horizontal="left" vertical="center" wrapText="1"/>
    </xf>
    <xf numFmtId="1" fontId="6" fillId="0" borderId="54" xfId="0" applyNumberFormat="1" applyFont="1" applyBorder="1" applyAlignment="1">
      <alignment horizontal="center"/>
    </xf>
    <xf numFmtId="0" fontId="47" fillId="0" borderId="35" xfId="0" applyFont="1" applyBorder="1" applyAlignment="1">
      <alignment horizontal="left" vertical="center"/>
    </xf>
    <xf numFmtId="166" fontId="6" fillId="0" borderId="90" xfId="2" applyNumberFormat="1" applyFont="1" applyBorder="1"/>
    <xf numFmtId="1" fontId="6" fillId="0" borderId="91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166" fontId="9" fillId="0" borderId="0" xfId="2" applyNumberFormat="1" applyFont="1" applyAlignment="1">
      <alignment vertical="center" wrapText="1"/>
    </xf>
    <xf numFmtId="0" fontId="0" fillId="0" borderId="0" xfId="0" applyFill="1" applyAlignment="1">
      <alignment wrapText="1"/>
    </xf>
    <xf numFmtId="0" fontId="47" fillId="0" borderId="58" xfId="0" applyFont="1" applyBorder="1" applyAlignment="1">
      <alignment horizontal="left" vertical="center"/>
    </xf>
    <xf numFmtId="166" fontId="9" fillId="0" borderId="0" xfId="2" applyNumberFormat="1" applyFont="1" applyFill="1" applyAlignment="1">
      <alignment vertical="center" wrapText="1"/>
    </xf>
    <xf numFmtId="166" fontId="0" fillId="0" borderId="0" xfId="2" applyNumberFormat="1" applyFont="1" applyFill="1"/>
    <xf numFmtId="166" fontId="12" fillId="0" borderId="0" xfId="2" applyNumberFormat="1" applyFont="1" applyFill="1"/>
    <xf numFmtId="0" fontId="22" fillId="0" borderId="68" xfId="0" applyFont="1" applyFill="1" applyBorder="1" applyAlignment="1">
      <alignment vertical="center" wrapText="1"/>
    </xf>
    <xf numFmtId="0" fontId="45" fillId="0" borderId="15" xfId="0" applyFont="1" applyFill="1" applyBorder="1"/>
    <xf numFmtId="0" fontId="45" fillId="0" borderId="39" xfId="0" applyFont="1" applyFill="1" applyBorder="1"/>
    <xf numFmtId="166" fontId="45" fillId="0" borderId="33" xfId="2" applyNumberFormat="1" applyFont="1" applyFill="1" applyBorder="1"/>
    <xf numFmtId="166" fontId="45" fillId="0" borderId="67" xfId="2" applyNumberFormat="1" applyFont="1" applyFill="1" applyBorder="1"/>
    <xf numFmtId="0" fontId="46" fillId="0" borderId="68" xfId="0" applyFont="1" applyFill="1" applyBorder="1" applyAlignment="1">
      <alignment horizontal="left" vertical="center" wrapText="1"/>
    </xf>
    <xf numFmtId="166" fontId="0" fillId="0" borderId="43" xfId="0" applyNumberFormat="1" applyFill="1" applyBorder="1"/>
    <xf numFmtId="166" fontId="0" fillId="0" borderId="31" xfId="2" applyNumberFormat="1" applyFont="1" applyFill="1" applyBorder="1"/>
    <xf numFmtId="166" fontId="12" fillId="0" borderId="31" xfId="2" applyNumberFormat="1" applyFont="1" applyFill="1" applyBorder="1"/>
    <xf numFmtId="166" fontId="0" fillId="0" borderId="32" xfId="2" applyNumberFormat="1" applyFont="1" applyFill="1" applyBorder="1"/>
    <xf numFmtId="0" fontId="46" fillId="0" borderId="2" xfId="0" applyFont="1" applyFill="1" applyBorder="1" applyAlignment="1">
      <alignment horizontal="left" vertical="center" wrapText="1"/>
    </xf>
    <xf numFmtId="166" fontId="0" fillId="0" borderId="9" xfId="0" applyNumberFormat="1" applyFill="1" applyBorder="1"/>
    <xf numFmtId="166" fontId="0" fillId="0" borderId="8" xfId="2" applyNumberFormat="1" applyFont="1" applyFill="1" applyBorder="1"/>
    <xf numFmtId="166" fontId="12" fillId="0" borderId="8" xfId="2" applyNumberFormat="1" applyFont="1" applyFill="1" applyBorder="1"/>
    <xf numFmtId="166" fontId="0" fillId="0" borderId="16" xfId="2" applyNumberFormat="1" applyFont="1" applyFill="1" applyBorder="1"/>
    <xf numFmtId="166" fontId="15" fillId="0" borderId="9" xfId="0" applyNumberFormat="1" applyFont="1" applyFill="1" applyBorder="1" applyAlignment="1">
      <alignment horizontal="center" vertical="center" wrapText="1"/>
    </xf>
    <xf numFmtId="0" fontId="47" fillId="0" borderId="29" xfId="0" applyFont="1" applyFill="1" applyBorder="1" applyAlignment="1">
      <alignment horizontal="left" vertical="center"/>
    </xf>
    <xf numFmtId="166" fontId="6" fillId="0" borderId="49" xfId="0" applyNumberFormat="1" applyFont="1" applyFill="1" applyBorder="1"/>
    <xf numFmtId="166" fontId="6" fillId="0" borderId="17" xfId="2" applyNumberFormat="1" applyFont="1" applyFill="1" applyBorder="1"/>
    <xf numFmtId="166" fontId="6" fillId="0" borderId="30" xfId="2" applyNumberFormat="1" applyFont="1" applyFill="1" applyBorder="1"/>
    <xf numFmtId="166" fontId="0" fillId="0" borderId="8" xfId="2" applyNumberFormat="1" applyFont="1" applyFill="1" applyBorder="1" applyAlignment="1">
      <alignment horizontal="center"/>
    </xf>
    <xf numFmtId="166" fontId="12" fillId="0" borderId="8" xfId="2" applyNumberFormat="1" applyFont="1" applyFill="1" applyBorder="1" applyAlignment="1">
      <alignment horizontal="center"/>
    </xf>
    <xf numFmtId="166" fontId="0" fillId="0" borderId="16" xfId="2" applyNumberFormat="1" applyFont="1" applyFill="1" applyBorder="1" applyAlignment="1">
      <alignment horizontal="center"/>
    </xf>
    <xf numFmtId="0" fontId="46" fillId="0" borderId="12" xfId="0" applyFont="1" applyFill="1" applyBorder="1" applyAlignment="1">
      <alignment horizontal="left" vertical="center" wrapText="1"/>
    </xf>
    <xf numFmtId="166" fontId="6" fillId="0" borderId="10" xfId="0" applyNumberFormat="1" applyFont="1" applyFill="1" applyBorder="1"/>
    <xf numFmtId="166" fontId="6" fillId="0" borderId="11" xfId="2" applyNumberFormat="1" applyFont="1" applyFill="1" applyBorder="1"/>
    <xf numFmtId="166" fontId="6" fillId="0" borderId="53" xfId="2" applyNumberFormat="1" applyFont="1" applyFill="1" applyBorder="1"/>
    <xf numFmtId="0" fontId="46" fillId="0" borderId="6" xfId="0" applyFont="1" applyFill="1" applyBorder="1" applyAlignment="1">
      <alignment horizontal="left" vertical="center" wrapText="1"/>
    </xf>
    <xf numFmtId="166" fontId="6" fillId="0" borderId="32" xfId="2" applyNumberFormat="1" applyFont="1" applyFill="1" applyBorder="1"/>
    <xf numFmtId="166" fontId="6" fillId="0" borderId="16" xfId="2" applyNumberFormat="1" applyFont="1" applyFill="1" applyBorder="1"/>
    <xf numFmtId="0" fontId="47" fillId="0" borderId="28" xfId="0" applyFont="1" applyFill="1" applyBorder="1" applyAlignment="1">
      <alignment horizontal="left" vertical="center"/>
    </xf>
    <xf numFmtId="166" fontId="6" fillId="0" borderId="52" xfId="0" applyNumberFormat="1" applyFont="1" applyFill="1" applyBorder="1"/>
    <xf numFmtId="166" fontId="6" fillId="0" borderId="48" xfId="0" applyNumberFormat="1" applyFont="1" applyFill="1" applyBorder="1"/>
    <xf numFmtId="166" fontId="13" fillId="0" borderId="9" xfId="0" applyNumberFormat="1" applyFont="1" applyFill="1" applyBorder="1" applyAlignment="1">
      <alignment horizontal="center" vertical="center" wrapText="1"/>
    </xf>
    <xf numFmtId="166" fontId="0" fillId="0" borderId="21" xfId="0" applyNumberFormat="1" applyFill="1" applyBorder="1"/>
    <xf numFmtId="166" fontId="0" fillId="0" borderId="22" xfId="2" applyNumberFormat="1" applyFont="1" applyFill="1" applyBorder="1"/>
    <xf numFmtId="166" fontId="12" fillId="0" borderId="22" xfId="2" applyNumberFormat="1" applyFont="1" applyFill="1" applyBorder="1"/>
    <xf numFmtId="166" fontId="0" fillId="0" borderId="65" xfId="2" applyNumberFormat="1" applyFont="1" applyFill="1" applyBorder="1"/>
    <xf numFmtId="0" fontId="47" fillId="0" borderId="3" xfId="0" applyFont="1" applyFill="1" applyBorder="1" applyAlignment="1">
      <alignment horizontal="left" vertical="center"/>
    </xf>
    <xf numFmtId="0" fontId="46" fillId="0" borderId="71" xfId="0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left" vertical="center" wrapText="1"/>
    </xf>
    <xf numFmtId="0" fontId="22" fillId="0" borderId="71" xfId="0" applyFont="1" applyFill="1" applyBorder="1" applyAlignment="1">
      <alignment vertical="center" wrapText="1"/>
    </xf>
    <xf numFmtId="0" fontId="45" fillId="0" borderId="68" xfId="0" applyFont="1" applyFill="1" applyBorder="1"/>
    <xf numFmtId="0" fontId="45" fillId="0" borderId="43" xfId="0" applyFont="1" applyFill="1" applyBorder="1"/>
    <xf numFmtId="166" fontId="45" fillId="0" borderId="31" xfId="2" applyNumberFormat="1" applyFont="1" applyFill="1" applyBorder="1"/>
    <xf numFmtId="166" fontId="45" fillId="0" borderId="32" xfId="2" applyNumberFormat="1" applyFont="1" applyFill="1" applyBorder="1"/>
    <xf numFmtId="166" fontId="0" fillId="0" borderId="42" xfId="0" applyNumberFormat="1" applyFont="1" applyFill="1" applyBorder="1"/>
    <xf numFmtId="166" fontId="12" fillId="0" borderId="32" xfId="2" applyNumberFormat="1" applyFont="1" applyFill="1" applyBorder="1"/>
    <xf numFmtId="166" fontId="0" fillId="0" borderId="45" xfId="0" applyNumberFormat="1" applyFont="1" applyFill="1" applyBorder="1"/>
    <xf numFmtId="166" fontId="12" fillId="0" borderId="16" xfId="2" applyNumberFormat="1" applyFont="1" applyFill="1" applyBorder="1"/>
    <xf numFmtId="0" fontId="12" fillId="2" borderId="13" xfId="0" applyFont="1" applyFill="1" applyBorder="1" applyAlignment="1"/>
    <xf numFmtId="166" fontId="26" fillId="0" borderId="0" xfId="2" applyNumberFormat="1" applyFont="1"/>
    <xf numFmtId="166" fontId="37" fillId="0" borderId="0" xfId="2" applyNumberFormat="1" applyFont="1"/>
    <xf numFmtId="166" fontId="38" fillId="0" borderId="0" xfId="2" applyNumberFormat="1" applyFont="1"/>
    <xf numFmtId="166" fontId="32" fillId="0" borderId="0" xfId="2" applyNumberFormat="1" applyFont="1"/>
    <xf numFmtId="3" fontId="40" fillId="2" borderId="5" xfId="0" applyNumberFormat="1" applyFont="1" applyFill="1" applyBorder="1" applyAlignment="1">
      <alignment wrapText="1"/>
    </xf>
    <xf numFmtId="3" fontId="41" fillId="2" borderId="42" xfId="0" applyNumberFormat="1" applyFont="1" applyFill="1" applyBorder="1"/>
    <xf numFmtId="3" fontId="41" fillId="2" borderId="31" xfId="0" applyNumberFormat="1" applyFont="1" applyFill="1" applyBorder="1"/>
    <xf numFmtId="3" fontId="41" fillId="2" borderId="57" xfId="0" applyNumberFormat="1" applyFont="1" applyFill="1" applyBorder="1"/>
    <xf numFmtId="3" fontId="39" fillId="0" borderId="71" xfId="0" applyNumberFormat="1" applyFont="1" applyFill="1" applyBorder="1"/>
    <xf numFmtId="3" fontId="39" fillId="0" borderId="68" xfId="0" applyNumberFormat="1" applyFont="1" applyFill="1" applyBorder="1"/>
    <xf numFmtId="166" fontId="29" fillId="0" borderId="0" xfId="2" applyNumberFormat="1" applyFont="1"/>
    <xf numFmtId="3" fontId="39" fillId="2" borderId="6" xfId="0" applyNumberFormat="1" applyFont="1" applyFill="1" applyBorder="1" applyAlignment="1">
      <alignment wrapText="1"/>
    </xf>
    <xf numFmtId="3" fontId="42" fillId="2" borderId="45" xfId="0" applyNumberFormat="1" applyFont="1" applyFill="1" applyBorder="1"/>
    <xf numFmtId="3" fontId="42" fillId="2" borderId="16" xfId="0" applyNumberFormat="1" applyFont="1" applyFill="1" applyBorder="1"/>
    <xf numFmtId="3" fontId="24" fillId="0" borderId="6" xfId="0" applyNumberFormat="1" applyFont="1" applyFill="1" applyBorder="1"/>
    <xf numFmtId="3" fontId="40" fillId="2" borderId="45" xfId="0" applyNumberFormat="1" applyFont="1" applyFill="1" applyBorder="1"/>
    <xf numFmtId="3" fontId="40" fillId="2" borderId="6" xfId="0" applyNumberFormat="1" applyFont="1" applyFill="1" applyBorder="1" applyAlignment="1">
      <alignment wrapText="1"/>
    </xf>
    <xf numFmtId="3" fontId="41" fillId="2" borderId="45" xfId="0" applyNumberFormat="1" applyFont="1" applyFill="1" applyBorder="1"/>
    <xf numFmtId="3" fontId="42" fillId="2" borderId="45" xfId="0" applyNumberFormat="1" applyFont="1" applyFill="1" applyBorder="1" applyAlignment="1">
      <alignment horizontal="right"/>
    </xf>
    <xf numFmtId="3" fontId="39" fillId="0" borderId="6" xfId="0" applyNumberFormat="1" applyFont="1" applyFill="1" applyBorder="1"/>
    <xf numFmtId="3" fontId="40" fillId="2" borderId="45" xfId="0" applyNumberFormat="1" applyFont="1" applyFill="1" applyBorder="1" applyAlignment="1">
      <alignment horizontal="right"/>
    </xf>
    <xf numFmtId="166" fontId="12" fillId="0" borderId="0" xfId="2" applyNumberFormat="1" applyFont="1" applyAlignment="1">
      <alignment horizontal="right"/>
    </xf>
    <xf numFmtId="3" fontId="39" fillId="2" borderId="7" xfId="0" applyNumberFormat="1" applyFont="1" applyFill="1" applyBorder="1" applyAlignment="1">
      <alignment wrapText="1"/>
    </xf>
    <xf numFmtId="3" fontId="42" fillId="2" borderId="52" xfId="0" applyNumberFormat="1" applyFont="1" applyFill="1" applyBorder="1"/>
    <xf numFmtId="3" fontId="42" fillId="2" borderId="53" xfId="0" applyNumberFormat="1" applyFont="1" applyFill="1" applyBorder="1"/>
    <xf numFmtId="3" fontId="40" fillId="5" borderId="45" xfId="0" applyNumberFormat="1" applyFont="1" applyFill="1" applyBorder="1"/>
    <xf numFmtId="3" fontId="39" fillId="2" borderId="25" xfId="0" applyNumberFormat="1" applyFont="1" applyFill="1" applyBorder="1" applyAlignment="1">
      <alignment wrapText="1"/>
    </xf>
    <xf numFmtId="3" fontId="42" fillId="2" borderId="48" xfId="0" applyNumberFormat="1" applyFont="1" applyFill="1" applyBorder="1"/>
    <xf numFmtId="3" fontId="42" fillId="2" borderId="17" xfId="0" applyNumberFormat="1" applyFont="1" applyFill="1" applyBorder="1"/>
    <xf numFmtId="3" fontId="42" fillId="2" borderId="58" xfId="0" applyNumberFormat="1" applyFont="1" applyFill="1" applyBorder="1"/>
    <xf numFmtId="3" fontId="24" fillId="0" borderId="28" xfId="0" applyNumberFormat="1" applyFont="1" applyFill="1" applyBorder="1"/>
    <xf numFmtId="3" fontId="40" fillId="5" borderId="48" xfId="0" applyNumberFormat="1" applyFont="1" applyFill="1" applyBorder="1"/>
    <xf numFmtId="3" fontId="40" fillId="2" borderId="17" xfId="0" applyNumberFormat="1" applyFont="1" applyFill="1" applyBorder="1"/>
    <xf numFmtId="3" fontId="40" fillId="2" borderId="58" xfId="0" applyNumberFormat="1" applyFont="1" applyFill="1" applyBorder="1"/>
    <xf numFmtId="3" fontId="24" fillId="0" borderId="29" xfId="0" applyNumberFormat="1" applyFont="1" applyFill="1" applyBorder="1"/>
    <xf numFmtId="3" fontId="39" fillId="2" borderId="34" xfId="0" applyNumberFormat="1" applyFont="1" applyFill="1" applyBorder="1" applyAlignment="1">
      <alignment wrapText="1"/>
    </xf>
    <xf numFmtId="3" fontId="42" fillId="2" borderId="90" xfId="0" applyNumberFormat="1" applyFont="1" applyFill="1" applyBorder="1"/>
    <xf numFmtId="3" fontId="42" fillId="2" borderId="88" xfId="0" applyNumberFormat="1" applyFont="1" applyFill="1" applyBorder="1"/>
    <xf numFmtId="3" fontId="42" fillId="2" borderId="64" xfId="0" applyNumberFormat="1" applyFont="1" applyFill="1" applyBorder="1"/>
    <xf numFmtId="3" fontId="42" fillId="2" borderId="96" xfId="0" applyNumberFormat="1" applyFont="1" applyFill="1" applyBorder="1"/>
    <xf numFmtId="3" fontId="42" fillId="2" borderId="97" xfId="0" applyNumberFormat="1" applyFont="1" applyFill="1" applyBorder="1"/>
    <xf numFmtId="3" fontId="39" fillId="0" borderId="35" xfId="0" applyNumberFormat="1" applyFont="1" applyFill="1" applyBorder="1"/>
    <xf numFmtId="3" fontId="40" fillId="2" borderId="96" xfId="0" applyNumberFormat="1" applyFont="1" applyFill="1" applyBorder="1"/>
    <xf numFmtId="3" fontId="40" fillId="2" borderId="91" xfId="0" applyNumberFormat="1" applyFont="1" applyFill="1" applyBorder="1"/>
    <xf numFmtId="3" fontId="40" fillId="2" borderId="13" xfId="0" applyNumberFormat="1" applyFont="1" applyFill="1" applyBorder="1"/>
    <xf numFmtId="166" fontId="28" fillId="0" borderId="0" xfId="2" applyNumberFormat="1" applyFont="1"/>
    <xf numFmtId="3" fontId="14" fillId="0" borderId="8" xfId="0" applyNumberFormat="1" applyFont="1" applyFill="1" applyBorder="1" applyAlignment="1">
      <alignment horizontal="center"/>
    </xf>
    <xf numFmtId="170" fontId="81" fillId="0" borderId="62" xfId="13" applyNumberFormat="1" applyFont="1" applyFill="1" applyBorder="1" applyAlignment="1" applyProtection="1">
      <alignment horizontal="center" vertical="center"/>
    </xf>
    <xf numFmtId="0" fontId="78" fillId="0" borderId="45" xfId="14" applyFont="1" applyFill="1" applyBorder="1" applyAlignment="1" applyProtection="1">
      <alignment horizontal="left" vertical="center" wrapText="1" indent="1"/>
    </xf>
    <xf numFmtId="170" fontId="81" fillId="0" borderId="25" xfId="13" applyNumberFormat="1" applyFont="1" applyFill="1" applyBorder="1" applyAlignment="1" applyProtection="1">
      <alignment horizontal="center" vertical="center"/>
    </xf>
    <xf numFmtId="0" fontId="77" fillId="0" borderId="89" xfId="14" applyFont="1" applyFill="1" applyBorder="1" applyProtection="1">
      <protection locked="0"/>
    </xf>
    <xf numFmtId="0" fontId="77" fillId="0" borderId="22" xfId="14" applyFont="1" applyFill="1" applyBorder="1" applyAlignment="1">
      <alignment horizontal="right" indent="1"/>
    </xf>
    <xf numFmtId="3" fontId="77" fillId="0" borderId="22" xfId="14" applyNumberFormat="1" applyFont="1" applyFill="1" applyBorder="1" applyAlignment="1" applyProtection="1">
      <alignment horizontal="center"/>
      <protection locked="0"/>
    </xf>
    <xf numFmtId="0" fontId="78" fillId="0" borderId="45" xfId="14" applyFont="1" applyFill="1" applyBorder="1" applyProtection="1">
      <protection locked="0"/>
    </xf>
    <xf numFmtId="0" fontId="75" fillId="0" borderId="8" xfId="14" applyFont="1" applyFill="1" applyBorder="1" applyAlignment="1">
      <alignment horizontal="right" indent="1"/>
    </xf>
    <xf numFmtId="3" fontId="75" fillId="0" borderId="22" xfId="14" applyNumberFormat="1" applyFont="1" applyFill="1" applyBorder="1" applyAlignment="1" applyProtection="1">
      <alignment horizontal="center"/>
      <protection locked="0"/>
    </xf>
    <xf numFmtId="0" fontId="78" fillId="0" borderId="52" xfId="14" applyFont="1" applyFill="1" applyBorder="1" applyProtection="1">
      <protection locked="0"/>
    </xf>
    <xf numFmtId="0" fontId="75" fillId="0" borderId="11" xfId="14" applyFont="1" applyFill="1" applyBorder="1" applyAlignment="1">
      <alignment horizontal="right" indent="1"/>
    </xf>
    <xf numFmtId="3" fontId="75" fillId="0" borderId="56" xfId="14" applyNumberFormat="1" applyFont="1" applyFill="1" applyBorder="1" applyAlignment="1">
      <alignment horizontal="center"/>
    </xf>
    <xf numFmtId="3" fontId="75" fillId="0" borderId="19" xfId="14" applyNumberFormat="1" applyFont="1" applyFill="1" applyBorder="1" applyAlignment="1" applyProtection="1">
      <alignment horizontal="center"/>
      <protection locked="0"/>
    </xf>
    <xf numFmtId="0" fontId="75" fillId="0" borderId="19" xfId="14" applyFont="1" applyFill="1" applyBorder="1" applyAlignment="1">
      <alignment horizontal="right" indent="1"/>
    </xf>
    <xf numFmtId="166" fontId="14" fillId="0" borderId="8" xfId="2" applyNumberFormat="1" applyFont="1" applyFill="1" applyBorder="1"/>
    <xf numFmtId="0" fontId="12" fillId="0" borderId="0" xfId="0" applyFont="1"/>
    <xf numFmtId="166" fontId="14" fillId="0" borderId="11" xfId="2" applyNumberFormat="1" applyFont="1" applyFill="1" applyBorder="1"/>
    <xf numFmtId="0" fontId="14" fillId="0" borderId="8" xfId="2" applyNumberFormat="1" applyFont="1" applyFill="1" applyBorder="1" applyAlignment="1">
      <alignment horizontal="center"/>
    </xf>
    <xf numFmtId="166" fontId="14" fillId="0" borderId="8" xfId="2" applyNumberFormat="1" applyFont="1" applyFill="1" applyBorder="1" applyAlignment="1"/>
    <xf numFmtId="166" fontId="14" fillId="0" borderId="11" xfId="2" applyNumberFormat="1" applyFont="1" applyFill="1" applyBorder="1" applyAlignment="1"/>
    <xf numFmtId="166" fontId="14" fillId="0" borderId="8" xfId="2" applyNumberFormat="1" applyFont="1" applyFill="1" applyBorder="1" applyAlignment="1">
      <alignment horizontal="center"/>
    </xf>
    <xf numFmtId="166" fontId="14" fillId="0" borderId="11" xfId="2" applyNumberFormat="1" applyFont="1" applyFill="1" applyBorder="1" applyAlignment="1">
      <alignment horizontal="center"/>
    </xf>
    <xf numFmtId="166" fontId="8" fillId="0" borderId="19" xfId="2" applyNumberFormat="1" applyFont="1" applyFill="1" applyBorder="1"/>
    <xf numFmtId="168" fontId="48" fillId="5" borderId="81" xfId="4" applyNumberFormat="1" applyFont="1" applyFill="1" applyBorder="1" applyAlignment="1" applyProtection="1"/>
    <xf numFmtId="0" fontId="15" fillId="5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166" fontId="28" fillId="5" borderId="0" xfId="1" applyNumberFormat="1" applyFont="1" applyFill="1" applyAlignment="1">
      <alignment horizontal="center"/>
    </xf>
    <xf numFmtId="0" fontId="96" fillId="0" borderId="60" xfId="11" applyFont="1" applyFill="1" applyBorder="1" applyAlignment="1" applyProtection="1">
      <alignment horizontal="left" vertical="center" wrapText="1" indent="1"/>
    </xf>
    <xf numFmtId="0" fontId="34" fillId="0" borderId="0" xfId="0" applyFont="1"/>
    <xf numFmtId="0" fontId="41" fillId="0" borderId="71" xfId="11" applyFont="1" applyFill="1" applyBorder="1" applyAlignment="1" applyProtection="1">
      <alignment horizontal="left" vertical="center" wrapText="1" indent="1"/>
    </xf>
    <xf numFmtId="0" fontId="42" fillId="0" borderId="5" xfId="11" applyFont="1" applyFill="1" applyBorder="1" applyAlignment="1" applyProtection="1">
      <alignment horizontal="left" vertical="center" wrapText="1" indent="1"/>
    </xf>
    <xf numFmtId="0" fontId="42" fillId="0" borderId="6" xfId="11" applyFont="1" applyFill="1" applyBorder="1" applyAlignment="1" applyProtection="1">
      <alignment horizontal="left" vertical="center" wrapText="1" indent="1"/>
    </xf>
    <xf numFmtId="0" fontId="41" fillId="0" borderId="6" xfId="11" applyFont="1" applyFill="1" applyBorder="1" applyAlignment="1" applyProtection="1">
      <alignment horizontal="left" vertical="center" wrapText="1" indent="1"/>
    </xf>
    <xf numFmtId="0" fontId="24" fillId="0" borderId="6" xfId="11" applyFont="1" applyFill="1" applyBorder="1" applyAlignment="1" applyProtection="1">
      <alignment horizontal="left" vertical="center" wrapText="1" indent="1"/>
    </xf>
    <xf numFmtId="0" fontId="42" fillId="0" borderId="6" xfId="11" applyFont="1" applyFill="1" applyBorder="1" applyAlignment="1" applyProtection="1">
      <alignment horizontal="left" vertical="center" wrapText="1" indent="2"/>
    </xf>
    <xf numFmtId="0" fontId="96" fillId="0" borderId="41" xfId="11" applyFont="1" applyFill="1" applyBorder="1" applyAlignment="1" applyProtection="1">
      <alignment horizontal="left" vertical="center" wrapText="1" indent="1"/>
    </xf>
    <xf numFmtId="0" fontId="97" fillId="0" borderId="41" xfId="11" applyFont="1" applyFill="1" applyBorder="1" applyAlignment="1" applyProtection="1">
      <alignment horizontal="left" vertical="center" wrapText="1" indent="1"/>
    </xf>
    <xf numFmtId="0" fontId="33" fillId="0" borderId="60" xfId="11" applyFont="1" applyFill="1" applyBorder="1" applyAlignment="1" applyProtection="1">
      <alignment horizontal="left" vertical="center" wrapText="1" indent="1"/>
    </xf>
    <xf numFmtId="0" fontId="41" fillId="0" borderId="5" xfId="11" applyFont="1" applyFill="1" applyBorder="1" applyAlignment="1" applyProtection="1">
      <alignment horizontal="left" vertical="center" wrapText="1" indent="2"/>
    </xf>
    <xf numFmtId="0" fontId="41" fillId="0" borderId="6" xfId="11" applyFont="1" applyFill="1" applyBorder="1" applyAlignment="1" applyProtection="1">
      <alignment horizontal="left" vertical="center" wrapText="1" indent="2"/>
    </xf>
    <xf numFmtId="0" fontId="98" fillId="0" borderId="0" xfId="0" applyFont="1"/>
    <xf numFmtId="0" fontId="96" fillId="0" borderId="71" xfId="11" applyFont="1" applyFill="1" applyBorder="1" applyAlignment="1" applyProtection="1">
      <alignment horizontal="left" vertical="center" wrapText="1" indent="1"/>
    </xf>
    <xf numFmtId="0" fontId="96" fillId="0" borderId="6" xfId="11" applyFont="1" applyFill="1" applyBorder="1" applyAlignment="1" applyProtection="1">
      <alignment horizontal="left" vertical="center" wrapText="1" indent="1"/>
    </xf>
    <xf numFmtId="0" fontId="96" fillId="0" borderId="70" xfId="11" applyFont="1" applyFill="1" applyBorder="1" applyAlignment="1" applyProtection="1">
      <alignment horizontal="left" vertical="center" wrapText="1" indent="1"/>
    </xf>
    <xf numFmtId="0" fontId="42" fillId="0" borderId="41" xfId="11" applyFont="1" applyFill="1" applyBorder="1" applyAlignment="1" applyProtection="1">
      <alignment horizontal="left" vertical="center" wrapText="1" indent="1"/>
    </xf>
    <xf numFmtId="0" fontId="96" fillId="0" borderId="41" xfId="11" applyFont="1" applyFill="1" applyBorder="1" applyAlignment="1" applyProtection="1">
      <alignment horizontal="center" vertical="center" wrapText="1"/>
    </xf>
    <xf numFmtId="0" fontId="42" fillId="0" borderId="41" xfId="11" applyFont="1" applyFill="1" applyBorder="1" applyAlignment="1" applyProtection="1">
      <alignment horizontal="left" vertical="center" wrapText="1"/>
    </xf>
    <xf numFmtId="49" fontId="24" fillId="0" borderId="1" xfId="11" applyNumberFormat="1" applyFont="1" applyFill="1" applyBorder="1" applyAlignment="1" applyProtection="1">
      <alignment horizontal="center" vertical="center"/>
    </xf>
    <xf numFmtId="3" fontId="42" fillId="0" borderId="1" xfId="11" applyNumberFormat="1" applyFont="1" applyFill="1" applyBorder="1" applyAlignment="1" applyProtection="1">
      <alignment horizontal="center" vertical="center"/>
    </xf>
    <xf numFmtId="49" fontId="42" fillId="0" borderId="0" xfId="11" applyNumberFormat="1" applyFont="1" applyFill="1" applyBorder="1" applyAlignment="1" applyProtection="1">
      <alignment horizontal="left" vertical="center"/>
    </xf>
    <xf numFmtId="0" fontId="42" fillId="0" borderId="0" xfId="11" applyFont="1" applyFill="1" applyBorder="1" applyAlignment="1" applyProtection="1">
      <alignment horizontal="left" vertical="center"/>
    </xf>
    <xf numFmtId="166" fontId="42" fillId="5" borderId="0" xfId="1" applyNumberFormat="1" applyFont="1" applyFill="1" applyBorder="1" applyAlignment="1" applyProtection="1">
      <alignment horizontal="left" vertical="center"/>
    </xf>
    <xf numFmtId="0" fontId="42" fillId="0" borderId="0" xfId="11" applyFont="1" applyFill="1" applyBorder="1" applyAlignment="1" applyProtection="1">
      <alignment vertical="center"/>
    </xf>
    <xf numFmtId="0" fontId="28" fillId="0" borderId="0" xfId="0" applyFont="1" applyFill="1"/>
    <xf numFmtId="0" fontId="96" fillId="0" borderId="15" xfId="11" applyFont="1" applyFill="1" applyBorder="1" applyAlignment="1" applyProtection="1">
      <alignment horizontal="left" vertical="center" wrapText="1" indent="1"/>
    </xf>
    <xf numFmtId="0" fontId="96" fillId="0" borderId="4" xfId="11" applyFont="1" applyFill="1" applyBorder="1" applyAlignment="1" applyProtection="1">
      <alignment vertical="center" wrapText="1"/>
    </xf>
    <xf numFmtId="0" fontId="42" fillId="0" borderId="69" xfId="11" applyFont="1" applyFill="1" applyBorder="1" applyAlignment="1" applyProtection="1">
      <alignment horizontal="left" vertical="center" wrapText="1" indent="1"/>
    </xf>
    <xf numFmtId="0" fontId="42" fillId="0" borderId="63" xfId="11" applyFont="1" applyFill="1" applyBorder="1" applyAlignment="1" applyProtection="1">
      <alignment horizontal="left" vertical="center" wrapText="1" indent="1"/>
    </xf>
    <xf numFmtId="0" fontId="96" fillId="0" borderId="1" xfId="11" applyFont="1" applyFill="1" applyBorder="1" applyAlignment="1" applyProtection="1">
      <alignment horizontal="left" vertical="center" wrapText="1" indent="1"/>
    </xf>
    <xf numFmtId="164" fontId="96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96" fillId="0" borderId="23" xfId="11" applyFont="1" applyFill="1" applyBorder="1" applyAlignment="1" applyProtection="1">
      <alignment horizontal="left" vertical="center" wrapText="1" indent="1"/>
    </xf>
    <xf numFmtId="0" fontId="96" fillId="0" borderId="59" xfId="11" applyFont="1" applyFill="1" applyBorder="1" applyAlignment="1" applyProtection="1">
      <alignment horizontal="left"/>
    </xf>
    <xf numFmtId="0" fontId="33" fillId="0" borderId="62" xfId="11" applyFont="1" applyFill="1" applyBorder="1" applyAlignment="1" applyProtection="1">
      <alignment horizontal="left"/>
    </xf>
    <xf numFmtId="0" fontId="42" fillId="0" borderId="62" xfId="11" applyFont="1" applyFill="1" applyBorder="1" applyAlignment="1" applyProtection="1">
      <alignment horizontal="left" indent="1"/>
    </xf>
    <xf numFmtId="164" fontId="42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42" fillId="0" borderId="72" xfId="11" applyFont="1" applyFill="1" applyBorder="1" applyAlignment="1" applyProtection="1">
      <alignment horizontal="left" indent="1"/>
    </xf>
    <xf numFmtId="164" fontId="42" fillId="0" borderId="29" xfId="11" applyNumberFormat="1" applyFont="1" applyFill="1" applyBorder="1" applyAlignment="1" applyProtection="1">
      <alignment horizontal="center" vertical="center" wrapText="1"/>
      <protection locked="0"/>
    </xf>
    <xf numFmtId="0" fontId="96" fillId="0" borderId="13" xfId="11" applyFont="1" applyFill="1" applyBorder="1" applyAlignment="1" applyProtection="1">
      <alignment horizontal="left" vertical="center" wrapText="1"/>
    </xf>
    <xf numFmtId="164" fontId="96" fillId="0" borderId="35" xfId="11" applyNumberFormat="1" applyFont="1" applyFill="1" applyBorder="1" applyAlignment="1" applyProtection="1">
      <alignment horizontal="center" vertical="center" wrapText="1"/>
      <protection locked="0"/>
    </xf>
    <xf numFmtId="0" fontId="96" fillId="0" borderId="59" xfId="11" applyFont="1" applyFill="1" applyBorder="1" applyAlignment="1" applyProtection="1">
      <alignment vertical="center" wrapText="1"/>
    </xf>
    <xf numFmtId="0" fontId="42" fillId="0" borderId="61" xfId="11" applyFont="1" applyFill="1" applyBorder="1" applyAlignment="1" applyProtection="1">
      <alignment horizontal="left" vertical="center" wrapText="1" indent="1"/>
    </xf>
    <xf numFmtId="164" fontId="42" fillId="0" borderId="12" xfId="11" applyNumberFormat="1" applyFont="1" applyFill="1" applyBorder="1" applyAlignment="1" applyProtection="1">
      <alignment horizontal="center" vertical="center" wrapText="1"/>
      <protection locked="0"/>
    </xf>
    <xf numFmtId="164" fontId="96" fillId="0" borderId="14" xfId="11" applyNumberFormat="1" applyFont="1" applyFill="1" applyBorder="1" applyAlignment="1" applyProtection="1">
      <alignment horizontal="center" vertical="center" wrapText="1"/>
    </xf>
    <xf numFmtId="164" fontId="96" fillId="0" borderId="59" xfId="11" applyNumberFormat="1" applyFont="1" applyFill="1" applyBorder="1" applyAlignment="1" applyProtection="1">
      <alignment horizontal="center" vertical="center" wrapText="1"/>
    </xf>
    <xf numFmtId="164" fontId="96" fillId="0" borderId="1" xfId="11" applyNumberFormat="1" applyFont="1" applyFill="1" applyBorder="1" applyAlignment="1" applyProtection="1">
      <alignment horizontal="center" vertical="center" wrapText="1"/>
    </xf>
    <xf numFmtId="164" fontId="96" fillId="5" borderId="1" xfId="11" applyNumberFormat="1" applyFont="1" applyFill="1" applyBorder="1" applyAlignment="1" applyProtection="1">
      <alignment horizontal="center" vertical="center" wrapText="1"/>
      <protection locked="0"/>
    </xf>
    <xf numFmtId="164" fontId="96" fillId="0" borderId="14" xfId="11" applyNumberFormat="1" applyFont="1" applyFill="1" applyBorder="1" applyAlignment="1" applyProtection="1">
      <alignment horizontal="center" vertical="center" wrapText="1"/>
      <protection locked="0"/>
    </xf>
    <xf numFmtId="164" fontId="96" fillId="0" borderId="59" xfId="11" applyNumberFormat="1" applyFont="1" applyFill="1" applyBorder="1" applyAlignment="1" applyProtection="1">
      <alignment horizontal="center" vertical="center" wrapText="1"/>
      <protection locked="0"/>
    </xf>
    <xf numFmtId="166" fontId="28" fillId="5" borderId="0" xfId="1" applyNumberFormat="1" applyFont="1" applyFill="1"/>
    <xf numFmtId="166" fontId="15" fillId="0" borderId="14" xfId="1" applyNumberFormat="1" applyFont="1" applyFill="1" applyBorder="1"/>
    <xf numFmtId="0" fontId="13" fillId="0" borderId="70" xfId="0" applyFont="1" applyBorder="1" applyAlignment="1">
      <alignment vertical="center" wrapText="1"/>
    </xf>
    <xf numFmtId="166" fontId="13" fillId="0" borderId="70" xfId="1" applyNumberFormat="1" applyFont="1" applyBorder="1"/>
    <xf numFmtId="166" fontId="13" fillId="0" borderId="23" xfId="1" applyNumberFormat="1" applyFont="1" applyBorder="1"/>
    <xf numFmtId="166" fontId="8" fillId="0" borderId="19" xfId="1" applyNumberFormat="1" applyFont="1" applyFill="1" applyBorder="1"/>
    <xf numFmtId="166" fontId="15" fillId="0" borderId="34" xfId="1" applyNumberFormat="1" applyFont="1" applyFill="1" applyBorder="1"/>
    <xf numFmtId="166" fontId="13" fillId="0" borderId="70" xfId="1" applyNumberFormat="1" applyFont="1" applyFill="1" applyBorder="1"/>
    <xf numFmtId="166" fontId="13" fillId="0" borderId="28" xfId="1" applyNumberFormat="1" applyFont="1" applyFill="1" applyBorder="1"/>
    <xf numFmtId="166" fontId="15" fillId="0" borderId="23" xfId="1" applyNumberFormat="1" applyFont="1" applyBorder="1"/>
    <xf numFmtId="166" fontId="15" fillId="0" borderId="70" xfId="1" applyNumberFormat="1" applyFont="1" applyBorder="1"/>
    <xf numFmtId="166" fontId="13" fillId="0" borderId="2" xfId="1" applyNumberFormat="1" applyFont="1" applyFill="1" applyBorder="1"/>
    <xf numFmtId="3" fontId="7" fillId="0" borderId="18" xfId="0" applyNumberFormat="1" applyFont="1" applyBorder="1" applyAlignment="1">
      <alignment wrapText="1"/>
    </xf>
    <xf numFmtId="0" fontId="67" fillId="0" borderId="1" xfId="0" applyFont="1" applyBorder="1"/>
    <xf numFmtId="166" fontId="8" fillId="0" borderId="59" xfId="1" applyNumberFormat="1" applyFont="1" applyFill="1" applyBorder="1" applyAlignment="1">
      <alignment horizontal="center"/>
    </xf>
    <xf numFmtId="166" fontId="8" fillId="0" borderId="69" xfId="1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46" fillId="0" borderId="29" xfId="0" applyFont="1" applyBorder="1" applyAlignment="1">
      <alignment horizontal="left" vertical="center" wrapText="1"/>
    </xf>
    <xf numFmtId="166" fontId="12" fillId="0" borderId="68" xfId="2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166" fontId="12" fillId="0" borderId="2" xfId="2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66" fontId="12" fillId="0" borderId="29" xfId="2" applyNumberFormat="1" applyFont="1" applyBorder="1" applyAlignment="1">
      <alignment horizontal="center"/>
    </xf>
    <xf numFmtId="166" fontId="12" fillId="0" borderId="50" xfId="2" applyNumberFormat="1" applyFont="1" applyBorder="1"/>
    <xf numFmtId="3" fontId="51" fillId="0" borderId="0" xfId="9" applyNumberFormat="1"/>
    <xf numFmtId="0" fontId="6" fillId="0" borderId="0" xfId="9" applyFont="1"/>
    <xf numFmtId="3" fontId="6" fillId="0" borderId="0" xfId="9" applyNumberFormat="1" applyFont="1"/>
    <xf numFmtId="166" fontId="6" fillId="0" borderId="0" xfId="1" applyNumberFormat="1" applyFont="1"/>
    <xf numFmtId="166" fontId="6" fillId="0" borderId="65" xfId="2" applyNumberFormat="1" applyFont="1" applyFill="1" applyBorder="1"/>
    <xf numFmtId="166" fontId="12" fillId="0" borderId="65" xfId="2" applyNumberFormat="1" applyFont="1" applyFill="1" applyBorder="1"/>
    <xf numFmtId="166" fontId="0" fillId="0" borderId="53" xfId="2" applyNumberFormat="1" applyFont="1" applyFill="1" applyBorder="1"/>
    <xf numFmtId="166" fontId="6" fillId="0" borderId="1" xfId="2" applyNumberFormat="1" applyFont="1" applyFill="1" applyBorder="1"/>
    <xf numFmtId="0" fontId="46" fillId="0" borderId="3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/>
    </xf>
    <xf numFmtId="166" fontId="0" fillId="0" borderId="10" xfId="0" applyNumberFormat="1" applyFill="1" applyBorder="1"/>
    <xf numFmtId="166" fontId="6" fillId="0" borderId="1" xfId="0" applyNumberFormat="1" applyFont="1" applyFill="1" applyBorder="1"/>
    <xf numFmtId="166" fontId="6" fillId="0" borderId="72" xfId="2" applyNumberFormat="1" applyFont="1" applyFill="1" applyBorder="1"/>
    <xf numFmtId="166" fontId="12" fillId="0" borderId="11" xfId="2" applyNumberFormat="1" applyFont="1" applyFill="1" applyBorder="1"/>
    <xf numFmtId="166" fontId="0" fillId="0" borderId="11" xfId="2" applyNumberFormat="1" applyFont="1" applyFill="1" applyBorder="1"/>
    <xf numFmtId="166" fontId="6" fillId="0" borderId="21" xfId="0" applyNumberFormat="1" applyFont="1" applyFill="1" applyBorder="1"/>
    <xf numFmtId="166" fontId="14" fillId="0" borderId="8" xfId="2" applyNumberFormat="1" applyFont="1" applyFill="1" applyBorder="1" applyAlignment="1">
      <alignment horizontal="center" vertical="center"/>
    </xf>
    <xf numFmtId="166" fontId="14" fillId="0" borderId="11" xfId="2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0" fontId="0" fillId="0" borderId="0" xfId="0" applyFont="1" applyFill="1"/>
    <xf numFmtId="0" fontId="8" fillId="0" borderId="1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left" vertical="center" wrapText="1"/>
    </xf>
    <xf numFmtId="3" fontId="14" fillId="0" borderId="31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45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/>
    </xf>
    <xf numFmtId="3" fontId="8" fillId="0" borderId="56" xfId="0" applyNumberFormat="1" applyFont="1" applyFill="1" applyBorder="1" applyAlignment="1">
      <alignment horizontal="center"/>
    </xf>
    <xf numFmtId="0" fontId="15" fillId="0" borderId="42" xfId="0" applyFont="1" applyFill="1" applyBorder="1" applyAlignment="1">
      <alignment horizontal="left" vertical="center" wrapText="1"/>
    </xf>
    <xf numFmtId="3" fontId="8" fillId="0" borderId="32" xfId="0" applyNumberFormat="1" applyFont="1" applyFill="1" applyBorder="1" applyAlignment="1">
      <alignment horizontal="center"/>
    </xf>
    <xf numFmtId="0" fontId="15" fillId="0" borderId="45" xfId="0" applyFont="1" applyFill="1" applyBorder="1" applyAlignment="1">
      <alignment horizontal="left" vertical="center" wrapText="1"/>
    </xf>
    <xf numFmtId="0" fontId="15" fillId="0" borderId="52" xfId="0" applyFont="1" applyFill="1" applyBorder="1" applyAlignment="1">
      <alignment horizontal="left" vertical="center" wrapText="1"/>
    </xf>
    <xf numFmtId="3" fontId="8" fillId="0" borderId="53" xfId="0" applyNumberFormat="1" applyFont="1" applyFill="1" applyBorder="1" applyAlignment="1">
      <alignment horizontal="center"/>
    </xf>
    <xf numFmtId="166" fontId="14" fillId="0" borderId="31" xfId="2" applyNumberFormat="1" applyFont="1" applyFill="1" applyBorder="1" applyAlignment="1">
      <alignment horizontal="center"/>
    </xf>
    <xf numFmtId="3" fontId="14" fillId="0" borderId="32" xfId="0" applyNumberFormat="1" applyFont="1" applyFill="1" applyBorder="1" applyAlignment="1">
      <alignment horizontal="center"/>
    </xf>
    <xf numFmtId="3" fontId="14" fillId="0" borderId="16" xfId="0" applyNumberFormat="1" applyFont="1" applyFill="1" applyBorder="1" applyAlignment="1">
      <alignment horizontal="center"/>
    </xf>
    <xf numFmtId="3" fontId="14" fillId="0" borderId="53" xfId="0" applyNumberFormat="1" applyFont="1" applyFill="1" applyBorder="1" applyAlignment="1">
      <alignment horizontal="center"/>
    </xf>
    <xf numFmtId="166" fontId="8" fillId="0" borderId="19" xfId="2" applyNumberFormat="1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/>
    </xf>
    <xf numFmtId="166" fontId="14" fillId="0" borderId="31" xfId="2" applyNumberFormat="1" applyFont="1" applyFill="1" applyBorder="1" applyAlignment="1"/>
    <xf numFmtId="166" fontId="8" fillId="0" borderId="19" xfId="2" applyNumberFormat="1" applyFont="1" applyFill="1" applyBorder="1" applyAlignment="1"/>
    <xf numFmtId="3" fontId="14" fillId="0" borderId="31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6" fontId="8" fillId="2" borderId="41" xfId="1" applyNumberFormat="1" applyFont="1" applyFill="1" applyBorder="1" applyAlignment="1">
      <alignment horizontal="center"/>
    </xf>
    <xf numFmtId="0" fontId="14" fillId="0" borderId="0" xfId="16" applyBorder="1"/>
    <xf numFmtId="0" fontId="15" fillId="0" borderId="55" xfId="16" applyFont="1" applyBorder="1" applyAlignment="1">
      <alignment horizontal="center" vertical="center" wrapText="1"/>
    </xf>
    <xf numFmtId="0" fontId="14" fillId="0" borderId="45" xfId="16" applyFont="1" applyBorder="1" applyAlignment="1">
      <alignment wrapText="1"/>
    </xf>
    <xf numFmtId="0" fontId="14" fillId="0" borderId="45" xfId="16" applyFont="1" applyBorder="1" applyAlignment="1">
      <alignment vertical="center" wrapText="1"/>
    </xf>
    <xf numFmtId="0" fontId="52" fillId="0" borderId="1" xfId="16" applyFont="1" applyBorder="1"/>
    <xf numFmtId="0" fontId="52" fillId="0" borderId="0" xfId="16" applyFont="1" applyBorder="1"/>
    <xf numFmtId="0" fontId="8" fillId="0" borderId="0" xfId="16" applyFont="1" applyBorder="1"/>
    <xf numFmtId="0" fontId="14" fillId="2" borderId="0" xfId="16" applyFill="1"/>
    <xf numFmtId="0" fontId="78" fillId="0" borderId="90" xfId="14" applyFont="1" applyFill="1" applyBorder="1" applyAlignment="1" applyProtection="1">
      <alignment horizontal="center" vertical="center" wrapText="1"/>
    </xf>
    <xf numFmtId="0" fontId="78" fillId="0" borderId="97" xfId="14" applyFont="1" applyFill="1" applyBorder="1" applyAlignment="1" applyProtection="1">
      <alignment horizontal="center" vertical="center" wrapText="1"/>
    </xf>
    <xf numFmtId="0" fontId="78" fillId="0" borderId="1" xfId="14" applyFont="1" applyFill="1" applyBorder="1" applyAlignment="1" applyProtection="1">
      <alignment horizontal="center" vertical="center" wrapText="1"/>
    </xf>
    <xf numFmtId="171" fontId="74" fillId="0" borderId="71" xfId="14" applyNumberFormat="1" applyFont="1" applyFill="1" applyBorder="1" applyAlignment="1" applyProtection="1">
      <alignment horizontal="right" vertical="center" wrapText="1"/>
      <protection locked="0"/>
    </xf>
    <xf numFmtId="171" fontId="74" fillId="0" borderId="68" xfId="14" applyNumberFormat="1" applyFont="1" applyFill="1" applyBorder="1" applyAlignment="1" applyProtection="1">
      <alignment horizontal="right" vertical="center" wrapText="1"/>
      <protection locked="0"/>
    </xf>
    <xf numFmtId="171" fontId="74" fillId="0" borderId="6" xfId="14" applyNumberFormat="1" applyFont="1" applyFill="1" applyBorder="1" applyAlignment="1" applyProtection="1">
      <alignment horizontal="right" vertical="center" wrapText="1"/>
    </xf>
    <xf numFmtId="171" fontId="74" fillId="0" borderId="2" xfId="14" applyNumberFormat="1" applyFont="1" applyFill="1" applyBorder="1" applyAlignment="1" applyProtection="1">
      <alignment horizontal="right" vertical="center" wrapText="1"/>
    </xf>
    <xf numFmtId="171" fontId="76" fillId="0" borderId="6" xfId="14" applyNumberFormat="1" applyFont="1" applyFill="1" applyBorder="1" applyAlignment="1" applyProtection="1">
      <alignment horizontal="right" vertical="center" wrapText="1"/>
      <protection locked="0"/>
    </xf>
    <xf numFmtId="171" fontId="76" fillId="0" borderId="2" xfId="14" applyNumberFormat="1" applyFont="1" applyFill="1" applyBorder="1" applyAlignment="1" applyProtection="1">
      <alignment horizontal="right" vertical="center" wrapText="1"/>
      <protection locked="0"/>
    </xf>
    <xf numFmtId="171" fontId="75" fillId="0" borderId="6" xfId="14" applyNumberFormat="1" applyFont="1" applyFill="1" applyBorder="1" applyAlignment="1" applyProtection="1">
      <alignment horizontal="right" vertical="center" wrapText="1"/>
    </xf>
    <xf numFmtId="171" fontId="75" fillId="0" borderId="2" xfId="14" applyNumberFormat="1" applyFont="1" applyFill="1" applyBorder="1" applyAlignment="1" applyProtection="1">
      <alignment horizontal="right" vertical="center" wrapText="1"/>
    </xf>
    <xf numFmtId="171" fontId="76" fillId="0" borderId="6" xfId="14" applyNumberFormat="1" applyFont="1" applyFill="1" applyBorder="1" applyAlignment="1" applyProtection="1">
      <alignment horizontal="right" vertical="center" wrapText="1"/>
    </xf>
    <xf numFmtId="171" fontId="76" fillId="0" borderId="2" xfId="14" applyNumberFormat="1" applyFont="1" applyFill="1" applyBorder="1" applyAlignment="1" applyProtection="1">
      <alignment horizontal="right" vertical="center" wrapText="1"/>
    </xf>
    <xf numFmtId="171" fontId="75" fillId="0" borderId="6" xfId="14" applyNumberFormat="1" applyFont="1" applyFill="1" applyBorder="1" applyAlignment="1" applyProtection="1">
      <alignment horizontal="right" vertical="center" wrapText="1"/>
      <protection locked="0"/>
    </xf>
    <xf numFmtId="171" fontId="75" fillId="0" borderId="2" xfId="14" applyNumberFormat="1" applyFont="1" applyFill="1" applyBorder="1" applyAlignment="1" applyProtection="1">
      <alignment horizontal="right" vertical="center" wrapText="1"/>
      <protection locked="0"/>
    </xf>
    <xf numFmtId="0" fontId="75" fillId="0" borderId="52" xfId="14" applyFont="1" applyFill="1" applyBorder="1" applyAlignment="1" applyProtection="1">
      <alignment vertical="center" wrapText="1"/>
    </xf>
    <xf numFmtId="170" fontId="82" fillId="0" borderId="26" xfId="13" applyNumberFormat="1" applyFont="1" applyFill="1" applyBorder="1" applyAlignment="1" applyProtection="1">
      <alignment horizontal="center" vertical="center"/>
    </xf>
    <xf numFmtId="170" fontId="82" fillId="0" borderId="63" xfId="13" applyNumberFormat="1" applyFont="1" applyFill="1" applyBorder="1" applyAlignment="1" applyProtection="1">
      <alignment horizontal="center" vertical="center"/>
    </xf>
    <xf numFmtId="171" fontId="76" fillId="0" borderId="7" xfId="14" applyNumberFormat="1" applyFont="1" applyFill="1" applyBorder="1" applyAlignment="1" applyProtection="1">
      <alignment horizontal="right" vertical="center" wrapText="1"/>
      <protection locked="0"/>
    </xf>
    <xf numFmtId="171" fontId="76" fillId="0" borderId="3" xfId="14" applyNumberFormat="1" applyFont="1" applyFill="1" applyBorder="1" applyAlignment="1" applyProtection="1">
      <alignment horizontal="right" vertical="center" wrapText="1"/>
      <protection locked="0"/>
    </xf>
    <xf numFmtId="170" fontId="82" fillId="0" borderId="20" xfId="13" applyNumberFormat="1" applyFont="1" applyFill="1" applyBorder="1" applyAlignment="1" applyProtection="1">
      <alignment horizontal="center" vertical="center"/>
    </xf>
    <xf numFmtId="170" fontId="81" fillId="0" borderId="59" xfId="13" applyNumberFormat="1" applyFont="1" applyFill="1" applyBorder="1" applyAlignment="1" applyProtection="1">
      <alignment horizontal="center" vertical="center"/>
    </xf>
    <xf numFmtId="171" fontId="75" fillId="0" borderId="41" xfId="14" applyNumberFormat="1" applyFont="1" applyFill="1" applyBorder="1" applyAlignment="1" applyProtection="1">
      <alignment horizontal="right" vertical="center" wrapText="1"/>
    </xf>
    <xf numFmtId="171" fontId="75" fillId="0" borderId="1" xfId="14" applyNumberFormat="1" applyFont="1" applyFill="1" applyBorder="1" applyAlignment="1" applyProtection="1">
      <alignment horizontal="right" vertical="center" wrapText="1"/>
    </xf>
    <xf numFmtId="0" fontId="75" fillId="0" borderId="89" xfId="14" applyFont="1" applyFill="1" applyBorder="1" applyAlignment="1" applyProtection="1">
      <alignment vertical="center" wrapText="1"/>
    </xf>
    <xf numFmtId="170" fontId="82" fillId="0" borderId="24" xfId="13" applyNumberFormat="1" applyFont="1" applyFill="1" applyBorder="1" applyAlignment="1" applyProtection="1">
      <alignment horizontal="center" vertical="center"/>
    </xf>
    <xf numFmtId="170" fontId="82" fillId="0" borderId="61" xfId="13" applyNumberFormat="1" applyFont="1" applyFill="1" applyBorder="1" applyAlignment="1" applyProtection="1">
      <alignment horizontal="center" vertical="center"/>
    </xf>
    <xf numFmtId="171" fontId="76" fillId="0" borderId="5" xfId="14" applyNumberFormat="1" applyFont="1" applyFill="1" applyBorder="1" applyAlignment="1" applyProtection="1">
      <alignment horizontal="right" vertical="center" wrapText="1"/>
      <protection locked="0"/>
    </xf>
    <xf numFmtId="171" fontId="76" fillId="0" borderId="12" xfId="14" applyNumberFormat="1" applyFont="1" applyFill="1" applyBorder="1" applyAlignment="1" applyProtection="1">
      <alignment horizontal="right" vertical="center" wrapText="1"/>
      <protection locked="0"/>
    </xf>
    <xf numFmtId="170" fontId="83" fillId="0" borderId="59" xfId="13" applyNumberFormat="1" applyFont="1" applyFill="1" applyBorder="1" applyAlignment="1" applyProtection="1">
      <alignment horizontal="center" vertical="center"/>
    </xf>
    <xf numFmtId="171" fontId="74" fillId="0" borderId="41" xfId="14" applyNumberFormat="1" applyFont="1" applyFill="1" applyBorder="1" applyAlignment="1" applyProtection="1">
      <alignment horizontal="right" vertical="center" wrapText="1"/>
    </xf>
    <xf numFmtId="0" fontId="78" fillId="0" borderId="90" xfId="14" applyFont="1" applyFill="1" applyBorder="1" applyProtection="1">
      <protection locked="0"/>
    </xf>
    <xf numFmtId="0" fontId="77" fillId="0" borderId="88" xfId="14" applyFont="1" applyFill="1" applyBorder="1" applyAlignment="1">
      <alignment horizontal="right" indent="1"/>
    </xf>
    <xf numFmtId="3" fontId="78" fillId="0" borderId="88" xfId="14" applyNumberFormat="1" applyFont="1" applyFill="1" applyBorder="1" applyAlignment="1" applyProtection="1">
      <alignment horizontal="center"/>
      <protection locked="0"/>
    </xf>
    <xf numFmtId="164" fontId="96" fillId="0" borderId="0" xfId="11" applyNumberFormat="1" applyFont="1" applyFill="1" applyBorder="1" applyAlignment="1" applyProtection="1">
      <alignment horizontal="centerContinuous" vertical="center"/>
    </xf>
    <xf numFmtId="166" fontId="96" fillId="5" borderId="0" xfId="1" applyNumberFormat="1" applyFont="1" applyFill="1" applyBorder="1" applyAlignment="1" applyProtection="1">
      <alignment horizontal="centerContinuous" vertical="center"/>
    </xf>
    <xf numFmtId="164" fontId="96" fillId="0" borderId="0" xfId="11" applyNumberFormat="1" applyFont="1" applyFill="1" applyBorder="1" applyAlignment="1" applyProtection="1">
      <alignment vertical="center"/>
    </xf>
    <xf numFmtId="49" fontId="96" fillId="0" borderId="35" xfId="11" applyNumberFormat="1" applyFont="1" applyFill="1" applyBorder="1" applyAlignment="1" applyProtection="1">
      <alignment horizontal="center" vertical="center" wrapText="1"/>
    </xf>
    <xf numFmtId="49" fontId="96" fillId="0" borderId="13" xfId="11" applyNumberFormat="1" applyFont="1" applyFill="1" applyBorder="1" applyAlignment="1" applyProtection="1">
      <alignment horizontal="center" vertical="center" wrapText="1"/>
    </xf>
    <xf numFmtId="49" fontId="96" fillId="5" borderId="35" xfId="1" applyNumberFormat="1" applyFont="1" applyFill="1" applyBorder="1" applyAlignment="1" applyProtection="1">
      <alignment horizontal="center" vertical="center" wrapText="1"/>
    </xf>
    <xf numFmtId="49" fontId="96" fillId="0" borderId="91" xfId="11" applyNumberFormat="1" applyFont="1" applyFill="1" applyBorder="1" applyAlignment="1" applyProtection="1">
      <alignment horizontal="center" vertical="center" wrapText="1"/>
    </xf>
    <xf numFmtId="49" fontId="96" fillId="0" borderId="90" xfId="11" applyNumberFormat="1" applyFont="1" applyFill="1" applyBorder="1" applyAlignment="1" applyProtection="1">
      <alignment horizontal="center" vertical="center" wrapText="1"/>
    </xf>
    <xf numFmtId="49" fontId="96" fillId="0" borderId="88" xfId="11" applyNumberFormat="1" applyFont="1" applyFill="1" applyBorder="1" applyAlignment="1" applyProtection="1">
      <alignment horizontal="center" vertical="center" wrapText="1"/>
    </xf>
    <xf numFmtId="49" fontId="96" fillId="5" borderId="97" xfId="1" applyNumberFormat="1" applyFont="1" applyFill="1" applyBorder="1" applyAlignment="1" applyProtection="1">
      <alignment horizontal="center" vertical="center" wrapText="1"/>
    </xf>
    <xf numFmtId="49" fontId="96" fillId="0" borderId="97" xfId="11" applyNumberFormat="1" applyFont="1" applyFill="1" applyBorder="1" applyAlignment="1" applyProtection="1">
      <alignment horizontal="center" vertical="center" wrapText="1"/>
    </xf>
    <xf numFmtId="3" fontId="18" fillId="0" borderId="56" xfId="0" applyNumberFormat="1" applyFont="1" applyFill="1" applyBorder="1" applyAlignment="1">
      <alignment horizontal="center"/>
    </xf>
    <xf numFmtId="171" fontId="74" fillId="0" borderId="1" xfId="14" applyNumberFormat="1" applyFont="1" applyFill="1" applyBorder="1" applyAlignment="1" applyProtection="1">
      <alignment horizontal="right" vertical="center" wrapText="1"/>
    </xf>
    <xf numFmtId="3" fontId="39" fillId="5" borderId="10" xfId="0" applyNumberFormat="1" applyFont="1" applyFill="1" applyBorder="1"/>
    <xf numFmtId="3" fontId="39" fillId="5" borderId="11" xfId="0" applyNumberFormat="1" applyFont="1" applyFill="1" applyBorder="1"/>
    <xf numFmtId="3" fontId="41" fillId="0" borderId="62" xfId="0" applyNumberFormat="1" applyFont="1" applyFill="1" applyBorder="1"/>
    <xf numFmtId="0" fontId="34" fillId="0" borderId="29" xfId="0" applyFont="1" applyBorder="1" applyAlignment="1">
      <alignment wrapText="1"/>
    </xf>
    <xf numFmtId="3" fontId="39" fillId="0" borderId="71" xfId="0" applyNumberFormat="1" applyFont="1" applyFill="1" applyBorder="1" applyAlignment="1">
      <alignment wrapText="1"/>
    </xf>
    <xf numFmtId="3" fontId="41" fillId="0" borderId="22" xfId="0" applyNumberFormat="1" applyFont="1" applyFill="1" applyBorder="1"/>
    <xf numFmtId="3" fontId="33" fillId="0" borderId="1" xfId="0" applyNumberFormat="1" applyFont="1" applyFill="1" applyBorder="1"/>
    <xf numFmtId="3" fontId="33" fillId="0" borderId="41" xfId="0" applyNumberFormat="1" applyFont="1" applyFill="1" applyBorder="1"/>
    <xf numFmtId="3" fontId="41" fillId="0" borderId="24" xfId="0" applyNumberFormat="1" applyFont="1" applyFill="1" applyBorder="1"/>
    <xf numFmtId="3" fontId="39" fillId="0" borderId="29" xfId="0" applyNumberFormat="1" applyFont="1" applyFill="1" applyBorder="1"/>
    <xf numFmtId="3" fontId="41" fillId="0" borderId="21" xfId="0" applyNumberFormat="1" applyFont="1" applyFill="1" applyBorder="1"/>
    <xf numFmtId="3" fontId="33" fillId="0" borderId="14" xfId="0" applyNumberFormat="1" applyFont="1" applyFill="1" applyBorder="1"/>
    <xf numFmtId="3" fontId="24" fillId="0" borderId="35" xfId="0" applyNumberFormat="1" applyFont="1" applyFill="1" applyBorder="1"/>
    <xf numFmtId="0" fontId="14" fillId="0" borderId="45" xfId="16" applyFont="1" applyFill="1" applyBorder="1" applyAlignment="1">
      <alignment vertical="center" wrapText="1"/>
    </xf>
    <xf numFmtId="0" fontId="52" fillId="0" borderId="55" xfId="16" applyFont="1" applyFill="1" applyBorder="1"/>
    <xf numFmtId="0" fontId="59" fillId="0" borderId="60" xfId="0" applyFont="1" applyBorder="1"/>
    <xf numFmtId="3" fontId="7" fillId="0" borderId="47" xfId="0" applyNumberFormat="1" applyFont="1" applyBorder="1"/>
    <xf numFmtId="0" fontId="7" fillId="0" borderId="68" xfId="0" applyFont="1" applyBorder="1"/>
    <xf numFmtId="0" fontId="7" fillId="0" borderId="2" xfId="0" applyFont="1" applyBorder="1"/>
    <xf numFmtId="0" fontId="0" fillId="0" borderId="23" xfId="0" applyBorder="1"/>
    <xf numFmtId="0" fontId="7" fillId="0" borderId="29" xfId="0" applyFont="1" applyBorder="1"/>
    <xf numFmtId="3" fontId="67" fillId="0" borderId="35" xfId="0" applyNumberFormat="1" applyFont="1" applyBorder="1"/>
    <xf numFmtId="0" fontId="0" fillId="0" borderId="2" xfId="0" applyBorder="1"/>
    <xf numFmtId="3" fontId="7" fillId="0" borderId="29" xfId="0" applyNumberFormat="1" applyFont="1" applyBorder="1"/>
    <xf numFmtId="3" fontId="67" fillId="0" borderId="1" xfId="0" applyNumberFormat="1" applyFont="1" applyBorder="1" applyAlignment="1">
      <alignment wrapText="1"/>
    </xf>
    <xf numFmtId="3" fontId="7" fillId="0" borderId="12" xfId="0" applyNumberFormat="1" applyFont="1" applyFill="1" applyBorder="1" applyAlignment="1"/>
    <xf numFmtId="3" fontId="7" fillId="0" borderId="61" xfId="0" applyNumberFormat="1" applyFont="1" applyFill="1" applyBorder="1" applyAlignment="1"/>
    <xf numFmtId="3" fontId="7" fillId="0" borderId="62" xfId="0" applyNumberFormat="1" applyFont="1" applyFill="1" applyBorder="1" applyAlignment="1"/>
    <xf numFmtId="3" fontId="7" fillId="0" borderId="23" xfId="0" applyNumberFormat="1" applyFont="1" applyFill="1" applyBorder="1" applyAlignment="1"/>
    <xf numFmtId="3" fontId="7" fillId="0" borderId="0" xfId="0" applyNumberFormat="1" applyFont="1" applyFill="1" applyBorder="1" applyAlignment="1"/>
    <xf numFmtId="3" fontId="7" fillId="0" borderId="1" xfId="0" applyNumberFormat="1" applyFont="1" applyFill="1" applyBorder="1" applyAlignment="1"/>
    <xf numFmtId="0" fontId="7" fillId="0" borderId="0" xfId="0" applyFont="1" applyFill="1"/>
    <xf numFmtId="0" fontId="67" fillId="0" borderId="15" xfId="0" applyFont="1" applyFill="1" applyBorder="1" applyAlignment="1">
      <alignment horizontal="center"/>
    </xf>
    <xf numFmtId="0" fontId="67" fillId="0" borderId="23" xfId="0" applyFont="1" applyFill="1" applyBorder="1" applyAlignment="1">
      <alignment horizontal="center"/>
    </xf>
    <xf numFmtId="0" fontId="67" fillId="0" borderId="23" xfId="0" applyFont="1" applyFill="1" applyBorder="1"/>
    <xf numFmtId="0" fontId="7" fillId="0" borderId="1" xfId="0" applyFont="1" applyFill="1" applyBorder="1" applyAlignment="1"/>
    <xf numFmtId="3" fontId="67" fillId="0" borderId="1" xfId="0" applyNumberFormat="1" applyFont="1" applyFill="1" applyBorder="1"/>
    <xf numFmtId="3" fontId="7" fillId="0" borderId="23" xfId="0" applyNumberFormat="1" applyFont="1" applyFill="1" applyBorder="1"/>
    <xf numFmtId="0" fontId="67" fillId="0" borderId="4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67" fillId="0" borderId="0" xfId="0" applyFont="1" applyFill="1" applyBorder="1"/>
    <xf numFmtId="0" fontId="7" fillId="0" borderId="59" xfId="0" applyFont="1" applyFill="1" applyBorder="1" applyAlignment="1"/>
    <xf numFmtId="3" fontId="7" fillId="0" borderId="0" xfId="0" applyNumberFormat="1" applyFont="1" applyFill="1" applyBorder="1"/>
    <xf numFmtId="3" fontId="0" fillId="0" borderId="0" xfId="0" applyNumberFormat="1" applyFill="1"/>
    <xf numFmtId="166" fontId="0" fillId="0" borderId="0" xfId="2" applyNumberFormat="1" applyFont="1" applyAlignment="1"/>
    <xf numFmtId="166" fontId="4" fillId="0" borderId="31" xfId="2" applyNumberFormat="1" applyFont="1" applyFill="1" applyBorder="1"/>
    <xf numFmtId="166" fontId="4" fillId="0" borderId="8" xfId="2" applyNumberFormat="1" applyFont="1" applyFill="1" applyBorder="1"/>
    <xf numFmtId="166" fontId="4" fillId="0" borderId="32" xfId="2" applyNumberFormat="1" applyFont="1" applyFill="1" applyBorder="1"/>
    <xf numFmtId="166" fontId="4" fillId="0" borderId="16" xfId="2" applyNumberFormat="1" applyFont="1" applyFill="1" applyBorder="1"/>
    <xf numFmtId="166" fontId="6" fillId="0" borderId="61" xfId="0" applyNumberFormat="1" applyFont="1" applyFill="1" applyBorder="1"/>
    <xf numFmtId="166" fontId="0" fillId="0" borderId="9" xfId="0" applyNumberFormat="1" applyFont="1" applyFill="1" applyBorder="1"/>
    <xf numFmtId="166" fontId="4" fillId="0" borderId="12" xfId="2" applyNumberFormat="1" applyFont="1" applyFill="1" applyBorder="1"/>
    <xf numFmtId="166" fontId="0" fillId="0" borderId="49" xfId="0" applyNumberFormat="1" applyFont="1" applyFill="1" applyBorder="1"/>
    <xf numFmtId="166" fontId="4" fillId="0" borderId="17" xfId="2" applyNumberFormat="1" applyFont="1" applyFill="1" applyBorder="1"/>
    <xf numFmtId="166" fontId="4" fillId="0" borderId="30" xfId="2" applyNumberFormat="1" applyFont="1" applyFill="1" applyBorder="1"/>
    <xf numFmtId="166" fontId="4" fillId="0" borderId="35" xfId="2" applyNumberFormat="1" applyFont="1" applyFill="1" applyBorder="1"/>
    <xf numFmtId="0" fontId="0" fillId="0" borderId="0" xfId="0" applyAlignment="1"/>
    <xf numFmtId="166" fontId="14" fillId="0" borderId="31" xfId="1" applyNumberFormat="1" applyFont="1" applyFill="1" applyBorder="1" applyAlignment="1">
      <alignment horizontal="center" vertical="center"/>
    </xf>
    <xf numFmtId="166" fontId="14" fillId="0" borderId="8" xfId="1" applyNumberFormat="1" applyFont="1" applyFill="1" applyBorder="1" applyAlignment="1">
      <alignment horizontal="center" vertical="center"/>
    </xf>
    <xf numFmtId="3" fontId="14" fillId="0" borderId="56" xfId="0" applyNumberFormat="1" applyFont="1" applyFill="1" applyBorder="1" applyAlignment="1">
      <alignment horizontal="center"/>
    </xf>
    <xf numFmtId="3" fontId="8" fillId="0" borderId="67" xfId="0" applyNumberFormat="1" applyFont="1" applyFill="1" applyBorder="1" applyAlignment="1">
      <alignment horizontal="center"/>
    </xf>
    <xf numFmtId="3" fontId="14" fillId="0" borderId="57" xfId="0" applyNumberFormat="1" applyFont="1" applyFill="1" applyBorder="1" applyAlignment="1">
      <alignment horizontal="center"/>
    </xf>
    <xf numFmtId="3" fontId="14" fillId="0" borderId="25" xfId="0" applyNumberFormat="1" applyFont="1" applyFill="1" applyBorder="1" applyAlignment="1">
      <alignment horizontal="center"/>
    </xf>
    <xf numFmtId="166" fontId="14" fillId="0" borderId="25" xfId="2" applyNumberFormat="1" applyFont="1" applyFill="1" applyBorder="1"/>
    <xf numFmtId="166" fontId="14" fillId="0" borderId="26" xfId="2" applyNumberFormat="1" applyFont="1" applyFill="1" applyBorder="1"/>
    <xf numFmtId="166" fontId="8" fillId="0" borderId="20" xfId="2" applyNumberFormat="1" applyFont="1" applyFill="1" applyBorder="1"/>
    <xf numFmtId="3" fontId="14" fillId="0" borderId="1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left" vertical="center"/>
    </xf>
    <xf numFmtId="166" fontId="14" fillId="0" borderId="8" xfId="1" applyNumberFormat="1" applyFont="1" applyFill="1" applyBorder="1" applyAlignment="1">
      <alignment horizontal="center" vertical="center" wrapText="1"/>
    </xf>
    <xf numFmtId="166" fontId="14" fillId="0" borderId="16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/>
    </xf>
    <xf numFmtId="0" fontId="18" fillId="0" borderId="0" xfId="0" applyFont="1" applyFill="1" applyBorder="1"/>
    <xf numFmtId="3" fontId="14" fillId="0" borderId="0" xfId="0" applyNumberFormat="1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/>
    <xf numFmtId="0" fontId="0" fillId="0" borderId="0" xfId="0" applyFont="1" applyFill="1" applyBorder="1"/>
    <xf numFmtId="166" fontId="0" fillId="0" borderId="0" xfId="0" applyNumberFormat="1" applyFill="1"/>
    <xf numFmtId="0" fontId="72" fillId="0" borderId="0" xfId="16" applyFont="1" applyBorder="1"/>
    <xf numFmtId="166" fontId="96" fillId="0" borderId="17" xfId="19" applyNumberFormat="1" applyFont="1" applyFill="1" applyBorder="1" applyAlignment="1" applyProtection="1">
      <alignment horizontal="center" vertical="center" wrapText="1"/>
    </xf>
    <xf numFmtId="49" fontId="96" fillId="0" borderId="97" xfId="19" applyNumberFormat="1" applyFont="1" applyFill="1" applyBorder="1" applyAlignment="1" applyProtection="1">
      <alignment horizontal="center" vertical="center" wrapText="1"/>
    </xf>
    <xf numFmtId="166" fontId="96" fillId="0" borderId="51" xfId="19" applyNumberFormat="1" applyFont="1" applyFill="1" applyBorder="1" applyAlignment="1" applyProtection="1">
      <alignment vertical="center" wrapText="1"/>
    </xf>
    <xf numFmtId="166" fontId="96" fillId="0" borderId="15" xfId="19" applyNumberFormat="1" applyFont="1" applyFill="1" applyBorder="1" applyAlignment="1" applyProtection="1">
      <alignment vertical="center" wrapText="1"/>
    </xf>
    <xf numFmtId="166" fontId="41" fillId="0" borderId="68" xfId="19" applyNumberFormat="1" applyFont="1" applyFill="1" applyBorder="1" applyAlignment="1" applyProtection="1">
      <alignment vertical="center" wrapText="1"/>
    </xf>
    <xf numFmtId="166" fontId="42" fillId="0" borderId="12" xfId="19" applyNumberFormat="1" applyFont="1" applyFill="1" applyBorder="1" applyAlignment="1" applyProtection="1">
      <alignment vertical="center" wrapText="1"/>
      <protection locked="0"/>
    </xf>
    <xf numFmtId="166" fontId="42" fillId="0" borderId="95" xfId="19" applyNumberFormat="1" applyFont="1" applyFill="1" applyBorder="1" applyAlignment="1" applyProtection="1">
      <alignment vertical="center" wrapText="1"/>
      <protection locked="0"/>
    </xf>
    <xf numFmtId="166" fontId="42" fillId="0" borderId="2" xfId="19" applyNumberFormat="1" applyFont="1" applyFill="1" applyBorder="1" applyAlignment="1" applyProtection="1">
      <alignment vertical="center" wrapText="1"/>
      <protection locked="0"/>
    </xf>
    <xf numFmtId="166" fontId="42" fillId="0" borderId="2" xfId="19" applyNumberFormat="1" applyFont="1" applyFill="1" applyBorder="1" applyAlignment="1" applyProtection="1">
      <alignment vertical="center" wrapText="1"/>
    </xf>
    <xf numFmtId="166" fontId="42" fillId="0" borderId="46" xfId="19" applyNumberFormat="1" applyFont="1" applyFill="1" applyBorder="1" applyAlignment="1" applyProtection="1">
      <alignment vertical="center" wrapText="1"/>
      <protection locked="0"/>
    </xf>
    <xf numFmtId="166" fontId="41" fillId="0" borderId="2" xfId="19" applyNumberFormat="1" applyFont="1" applyFill="1" applyBorder="1" applyAlignment="1" applyProtection="1">
      <alignment vertical="center" wrapText="1"/>
      <protection locked="0"/>
    </xf>
    <xf numFmtId="166" fontId="41" fillId="0" borderId="2" xfId="19" applyNumberFormat="1" applyFont="1" applyFill="1" applyBorder="1" applyAlignment="1" applyProtection="1">
      <alignment vertical="center" wrapText="1"/>
    </xf>
    <xf numFmtId="166" fontId="41" fillId="0" borderId="46" xfId="19" applyNumberFormat="1" applyFont="1" applyFill="1" applyBorder="1" applyAlignment="1" applyProtection="1">
      <alignment vertical="center" wrapText="1"/>
      <protection locked="0"/>
    </xf>
    <xf numFmtId="166" fontId="24" fillId="0" borderId="2" xfId="19" applyNumberFormat="1" applyFont="1" applyFill="1" applyBorder="1" applyAlignment="1" applyProtection="1">
      <alignment vertical="center" wrapText="1"/>
    </xf>
    <xf numFmtId="166" fontId="24" fillId="0" borderId="46" xfId="19" applyNumberFormat="1" applyFont="1" applyFill="1" applyBorder="1" applyAlignment="1" applyProtection="1">
      <alignment vertical="center" wrapText="1"/>
    </xf>
    <xf numFmtId="166" fontId="42" fillId="0" borderId="29" xfId="19" applyNumberFormat="1" applyFont="1" applyFill="1" applyBorder="1" applyAlignment="1" applyProtection="1">
      <alignment vertical="center" wrapText="1"/>
      <protection locked="0"/>
    </xf>
    <xf numFmtId="166" fontId="96" fillId="0" borderId="1" xfId="19" applyNumberFormat="1" applyFont="1" applyFill="1" applyBorder="1" applyAlignment="1" applyProtection="1">
      <alignment vertical="center" wrapText="1"/>
    </xf>
    <xf numFmtId="166" fontId="96" fillId="0" borderId="14" xfId="19" applyNumberFormat="1" applyFont="1" applyFill="1" applyBorder="1" applyAlignment="1" applyProtection="1">
      <alignment vertical="center" wrapText="1"/>
    </xf>
    <xf numFmtId="0" fontId="39" fillId="0" borderId="41" xfId="11" applyFont="1" applyFill="1" applyBorder="1" applyAlignment="1" applyProtection="1">
      <alignment horizontal="left" vertical="center" wrapText="1" indent="1"/>
    </xf>
    <xf numFmtId="166" fontId="39" fillId="0" borderId="14" xfId="19" applyNumberFormat="1" applyFont="1" applyFill="1" applyBorder="1" applyAlignment="1" applyProtection="1">
      <alignment vertical="center" wrapText="1"/>
    </xf>
    <xf numFmtId="166" fontId="41" fillId="0" borderId="1" xfId="19" applyNumberFormat="1" applyFont="1" applyFill="1" applyBorder="1" applyAlignment="1" applyProtection="1">
      <alignment vertical="center" wrapText="1"/>
    </xf>
    <xf numFmtId="166" fontId="41" fillId="0" borderId="12" xfId="19" applyNumberFormat="1" applyFont="1" applyFill="1" applyBorder="1" applyAlignment="1" applyProtection="1">
      <alignment vertical="center" wrapText="1"/>
    </xf>
    <xf numFmtId="166" fontId="96" fillId="0" borderId="68" xfId="19" applyNumberFormat="1" applyFont="1" applyFill="1" applyBorder="1" applyAlignment="1" applyProtection="1">
      <alignment vertical="center" wrapText="1"/>
      <protection locked="0"/>
    </xf>
    <xf numFmtId="166" fontId="96" fillId="0" borderId="68" xfId="19" applyNumberFormat="1" applyFont="1" applyFill="1" applyBorder="1" applyAlignment="1" applyProtection="1">
      <alignment vertical="center" wrapText="1"/>
    </xf>
    <xf numFmtId="166" fontId="96" fillId="0" borderId="44" xfId="19" applyNumberFormat="1" applyFont="1" applyFill="1" applyBorder="1" applyAlignment="1" applyProtection="1">
      <alignment vertical="center" wrapText="1"/>
      <protection locked="0"/>
    </xf>
    <xf numFmtId="166" fontId="96" fillId="0" borderId="2" xfId="19" applyNumberFormat="1" applyFont="1" applyFill="1" applyBorder="1" applyAlignment="1" applyProtection="1">
      <alignment vertical="center" wrapText="1"/>
      <protection locked="0"/>
    </xf>
    <xf numFmtId="166" fontId="96" fillId="0" borderId="2" xfId="19" applyNumberFormat="1" applyFont="1" applyFill="1" applyBorder="1" applyAlignment="1" applyProtection="1">
      <alignment vertical="center" wrapText="1"/>
    </xf>
    <xf numFmtId="166" fontId="96" fillId="0" borderId="46" xfId="19" applyNumberFormat="1" applyFont="1" applyFill="1" applyBorder="1" applyAlignment="1" applyProtection="1">
      <alignment vertical="center" wrapText="1"/>
      <protection locked="0"/>
    </xf>
    <xf numFmtId="166" fontId="96" fillId="0" borderId="3" xfId="19" applyNumberFormat="1" applyFont="1" applyFill="1" applyBorder="1" applyAlignment="1" applyProtection="1">
      <alignment vertical="center" wrapText="1"/>
    </xf>
    <xf numFmtId="166" fontId="42" fillId="0" borderId="1" xfId="19" applyNumberFormat="1" applyFont="1" applyFill="1" applyBorder="1" applyAlignment="1" applyProtection="1">
      <alignment vertical="center" wrapText="1"/>
      <protection locked="0"/>
    </xf>
    <xf numFmtId="166" fontId="42" fillId="0" borderId="1" xfId="19" applyNumberFormat="1" applyFont="1" applyFill="1" applyBorder="1" applyAlignment="1" applyProtection="1">
      <alignment vertical="center" wrapText="1"/>
    </xf>
    <xf numFmtId="166" fontId="42" fillId="0" borderId="14" xfId="19" applyNumberFormat="1" applyFont="1" applyFill="1" applyBorder="1" applyAlignment="1" applyProtection="1">
      <alignment vertical="center" wrapText="1"/>
      <protection locked="0"/>
    </xf>
    <xf numFmtId="166" fontId="42" fillId="0" borderId="14" xfId="19" applyNumberFormat="1" applyFont="1" applyFill="1" applyBorder="1" applyAlignment="1" applyProtection="1">
      <alignment vertical="center" wrapText="1"/>
    </xf>
    <xf numFmtId="166" fontId="98" fillId="0" borderId="1" xfId="19" applyNumberFormat="1" applyFont="1" applyFill="1" applyBorder="1" applyAlignment="1"/>
    <xf numFmtId="166" fontId="98" fillId="0" borderId="14" xfId="19" applyNumberFormat="1" applyFont="1" applyFill="1" applyBorder="1" applyAlignment="1"/>
    <xf numFmtId="166" fontId="33" fillId="0" borderId="1" xfId="19" applyNumberFormat="1" applyFont="1" applyFill="1" applyBorder="1" applyAlignment="1" applyProtection="1">
      <alignment vertical="center" wrapText="1"/>
    </xf>
    <xf numFmtId="166" fontId="42" fillId="0" borderId="1" xfId="19" applyNumberFormat="1" applyFont="1" applyFill="1" applyBorder="1" applyAlignment="1" applyProtection="1">
      <alignment horizontal="center" vertical="center" wrapText="1"/>
    </xf>
    <xf numFmtId="166" fontId="42" fillId="0" borderId="14" xfId="19" applyNumberFormat="1" applyFont="1" applyFill="1" applyBorder="1" applyAlignment="1" applyProtection="1">
      <alignment horizontal="center" vertical="center" wrapText="1"/>
    </xf>
    <xf numFmtId="166" fontId="28" fillId="0" borderId="0" xfId="19" applyNumberFormat="1" applyFont="1"/>
    <xf numFmtId="0" fontId="42" fillId="0" borderId="59" xfId="11" applyFont="1" applyFill="1" applyBorder="1" applyAlignment="1" applyProtection="1">
      <alignment horizontal="left" vertical="center"/>
    </xf>
    <xf numFmtId="166" fontId="33" fillId="0" borderId="0" xfId="19" applyNumberFormat="1" applyFont="1" applyFill="1" applyBorder="1" applyAlignment="1" applyProtection="1"/>
    <xf numFmtId="49" fontId="96" fillId="0" borderId="13" xfId="19" applyNumberFormat="1" applyFont="1" applyFill="1" applyBorder="1" applyAlignment="1" applyProtection="1">
      <alignment horizontal="center" vertical="center" wrapText="1"/>
    </xf>
    <xf numFmtId="166" fontId="96" fillId="0" borderId="4" xfId="19" applyNumberFormat="1" applyFont="1" applyFill="1" applyBorder="1" applyAlignment="1" applyProtection="1">
      <alignment vertical="center" wrapText="1"/>
    </xf>
    <xf numFmtId="166" fontId="42" fillId="0" borderId="44" xfId="19" applyNumberFormat="1" applyFont="1" applyFill="1" applyBorder="1" applyAlignment="1" applyProtection="1">
      <alignment vertical="center" wrapText="1"/>
    </xf>
    <xf numFmtId="166" fontId="42" fillId="0" borderId="47" xfId="19" applyNumberFormat="1" applyFont="1" applyFill="1" applyBorder="1" applyAlignment="1" applyProtection="1">
      <alignment vertical="center" wrapText="1"/>
    </xf>
    <xf numFmtId="166" fontId="96" fillId="0" borderId="59" xfId="19" applyNumberFormat="1" applyFont="1" applyFill="1" applyBorder="1" applyAlignment="1" applyProtection="1">
      <alignment vertical="center" wrapText="1"/>
    </xf>
    <xf numFmtId="166" fontId="96" fillId="0" borderId="1" xfId="19" applyNumberFormat="1" applyFont="1" applyFill="1" applyBorder="1" applyAlignment="1" applyProtection="1">
      <alignment horizontal="left" indent="1"/>
    </xf>
    <xf numFmtId="166" fontId="33" fillId="0" borderId="2" xfId="19" applyNumberFormat="1" applyFont="1" applyFill="1" applyBorder="1" applyAlignment="1" applyProtection="1">
      <alignment horizontal="center"/>
    </xf>
    <xf numFmtId="166" fontId="33" fillId="0" borderId="2" xfId="19" applyNumberFormat="1" applyFont="1" applyFill="1" applyBorder="1" applyAlignment="1" applyProtection="1"/>
    <xf numFmtId="166" fontId="33" fillId="0" borderId="62" xfId="19" applyNumberFormat="1" applyFont="1" applyFill="1" applyBorder="1" applyAlignment="1" applyProtection="1"/>
    <xf numFmtId="166" fontId="42" fillId="0" borderId="2" xfId="19" applyNumberFormat="1" applyFont="1" applyFill="1" applyBorder="1" applyAlignment="1" applyProtection="1"/>
    <xf numFmtId="166" fontId="42" fillId="0" borderId="29" xfId="19" applyNumberFormat="1" applyFont="1" applyFill="1" applyBorder="1" applyAlignment="1" applyProtection="1"/>
    <xf numFmtId="166" fontId="96" fillId="0" borderId="35" xfId="19" applyNumberFormat="1" applyFont="1" applyFill="1" applyBorder="1" applyAlignment="1" applyProtection="1">
      <alignment vertical="center" wrapText="1"/>
    </xf>
    <xf numFmtId="166" fontId="42" fillId="0" borderId="68" xfId="19" applyNumberFormat="1" applyFont="1" applyFill="1" applyBorder="1" applyAlignment="1" applyProtection="1">
      <alignment vertical="center" wrapText="1"/>
    </xf>
    <xf numFmtId="166" fontId="42" fillId="0" borderId="29" xfId="19" applyNumberFormat="1" applyFont="1" applyFill="1" applyBorder="1" applyAlignment="1" applyProtection="1">
      <alignment vertical="center" wrapText="1"/>
    </xf>
    <xf numFmtId="164" fontId="28" fillId="0" borderId="0" xfId="0" applyNumberFormat="1" applyFont="1" applyFill="1" applyAlignment="1"/>
    <xf numFmtId="166" fontId="4" fillId="5" borderId="0" xfId="1" applyNumberFormat="1" applyFont="1" applyFill="1"/>
    <xf numFmtId="166" fontId="4" fillId="0" borderId="0" xfId="19" applyNumberFormat="1" applyFont="1" applyFill="1" applyAlignment="1"/>
    <xf numFmtId="166" fontId="14" fillId="2" borderId="0" xfId="20" applyNumberFormat="1" applyFont="1" applyFill="1"/>
    <xf numFmtId="166" fontId="14" fillId="0" borderId="0" xfId="20" applyNumberFormat="1" applyFont="1" applyFill="1"/>
    <xf numFmtId="0" fontId="61" fillId="0" borderId="0" xfId="16" applyFont="1" applyAlignment="1"/>
    <xf numFmtId="0" fontId="72" fillId="0" borderId="41" xfId="16" applyFont="1" applyBorder="1" applyAlignment="1"/>
    <xf numFmtId="0" fontId="72" fillId="0" borderId="59" xfId="16" applyFont="1" applyBorder="1" applyAlignment="1"/>
    <xf numFmtId="0" fontId="72" fillId="0" borderId="14" xfId="16" applyFont="1" applyBorder="1"/>
    <xf numFmtId="166" fontId="52" fillId="2" borderId="0" xfId="20" applyNumberFormat="1" applyFont="1" applyFill="1"/>
    <xf numFmtId="166" fontId="67" fillId="2" borderId="67" xfId="20" applyNumberFormat="1" applyFont="1" applyFill="1" applyBorder="1" applyAlignment="1">
      <alignment horizontal="center" vertical="center" wrapText="1"/>
    </xf>
    <xf numFmtId="0" fontId="84" fillId="2" borderId="56" xfId="20" applyNumberFormat="1" applyFont="1" applyFill="1" applyBorder="1" applyAlignment="1">
      <alignment horizontal="center"/>
    </xf>
    <xf numFmtId="166" fontId="43" fillId="2" borderId="91" xfId="20" applyNumberFormat="1" applyFont="1" applyFill="1" applyBorder="1"/>
    <xf numFmtId="166" fontId="95" fillId="2" borderId="65" xfId="20" applyNumberFormat="1" applyFont="1" applyFill="1" applyBorder="1"/>
    <xf numFmtId="166" fontId="19" fillId="2" borderId="65" xfId="20" applyNumberFormat="1" applyFont="1" applyFill="1" applyBorder="1"/>
    <xf numFmtId="166" fontId="19" fillId="2" borderId="16" xfId="20" applyNumberFormat="1" applyFont="1" applyFill="1" applyBorder="1"/>
    <xf numFmtId="166" fontId="19" fillId="2" borderId="30" xfId="20" applyNumberFormat="1" applyFont="1" applyFill="1" applyBorder="1"/>
    <xf numFmtId="166" fontId="4" fillId="5" borderId="0" xfId="20" applyNumberFormat="1" applyFont="1" applyFill="1"/>
    <xf numFmtId="166" fontId="0" fillId="0" borderId="0" xfId="20" applyNumberFormat="1" applyFont="1"/>
    <xf numFmtId="166" fontId="88" fillId="0" borderId="19" xfId="20" applyNumberFormat="1" applyFont="1" applyFill="1" applyBorder="1" applyAlignment="1" applyProtection="1">
      <alignment horizontal="center" vertical="center" wrapText="1"/>
    </xf>
    <xf numFmtId="9" fontId="90" fillId="0" borderId="22" xfId="21" applyFont="1" applyBorder="1" applyAlignment="1" applyProtection="1">
      <alignment horizontal="center" vertical="center" wrapText="1"/>
      <protection locked="0"/>
    </xf>
    <xf numFmtId="166" fontId="90" fillId="0" borderId="22" xfId="20" applyNumberFormat="1" applyFont="1" applyBorder="1" applyAlignment="1" applyProtection="1">
      <alignment horizontal="center" vertical="center" wrapText="1"/>
      <protection locked="0"/>
    </xf>
    <xf numFmtId="166" fontId="49" fillId="0" borderId="22" xfId="20" applyNumberFormat="1" applyFont="1" applyBorder="1"/>
    <xf numFmtId="166" fontId="49" fillId="0" borderId="65" xfId="20" applyNumberFormat="1" applyFont="1" applyBorder="1" applyAlignment="1">
      <alignment vertical="center" wrapText="1"/>
    </xf>
    <xf numFmtId="169" fontId="90" fillId="0" borderId="8" xfId="21" applyNumberFormat="1" applyFont="1" applyBorder="1" applyAlignment="1" applyProtection="1">
      <alignment horizontal="center" vertical="center" wrapText="1"/>
      <protection locked="0"/>
    </xf>
    <xf numFmtId="166" fontId="90" fillId="0" borderId="8" xfId="20" applyNumberFormat="1" applyFont="1" applyBorder="1" applyAlignment="1" applyProtection="1">
      <alignment horizontal="center" vertical="center" wrapText="1"/>
      <protection locked="0"/>
    </xf>
    <xf numFmtId="166" fontId="49" fillId="0" borderId="8" xfId="20" applyNumberFormat="1" applyFont="1" applyBorder="1" applyAlignment="1">
      <alignment vertical="center"/>
    </xf>
    <xf numFmtId="166" fontId="49" fillId="0" borderId="16" xfId="20" applyNumberFormat="1" applyFont="1" applyBorder="1" applyAlignment="1">
      <alignment vertical="center" wrapText="1"/>
    </xf>
    <xf numFmtId="166" fontId="49" fillId="0" borderId="8" xfId="20" applyNumberFormat="1" applyFont="1" applyBorder="1"/>
    <xf numFmtId="166" fontId="49" fillId="0" borderId="8" xfId="20" applyNumberFormat="1" applyFont="1" applyBorder="1" applyAlignment="1">
      <alignment vertical="center" wrapText="1"/>
    </xf>
    <xf numFmtId="172" fontId="90" fillId="0" borderId="8" xfId="21" applyNumberFormat="1" applyFont="1" applyBorder="1" applyAlignment="1" applyProtection="1">
      <alignment horizontal="center" vertical="center" wrapText="1"/>
      <protection locked="0"/>
    </xf>
    <xf numFmtId="9" fontId="90" fillId="0" borderId="8" xfId="21" applyFont="1" applyBorder="1" applyAlignment="1" applyProtection="1">
      <alignment horizontal="center" vertical="center" wrapText="1"/>
      <protection locked="0"/>
    </xf>
    <xf numFmtId="166" fontId="99" fillId="0" borderId="16" xfId="20" applyNumberFormat="1" applyFont="1" applyBorder="1" applyAlignment="1">
      <alignment vertical="center" wrapText="1"/>
    </xf>
    <xf numFmtId="166" fontId="90" fillId="0" borderId="8" xfId="20" applyNumberFormat="1" applyFont="1" applyBorder="1" applyAlignment="1" applyProtection="1">
      <alignment horizontal="center" vertical="top" wrapText="1"/>
      <protection locked="0"/>
    </xf>
    <xf numFmtId="9" fontId="90" fillId="0" borderId="11" xfId="21" applyFont="1" applyBorder="1" applyAlignment="1" applyProtection="1">
      <alignment horizontal="center" vertical="center" wrapText="1"/>
      <protection locked="0"/>
    </xf>
    <xf numFmtId="166" fontId="90" fillId="0" borderId="11" xfId="20" applyNumberFormat="1" applyFont="1" applyBorder="1" applyAlignment="1" applyProtection="1">
      <alignment horizontal="center" vertical="center" wrapText="1"/>
      <protection locked="0"/>
    </xf>
    <xf numFmtId="166" fontId="49" fillId="0" borderId="11" xfId="20" applyNumberFormat="1" applyFont="1" applyBorder="1"/>
    <xf numFmtId="166" fontId="90" fillId="0" borderId="11" xfId="20" applyNumberFormat="1" applyFont="1" applyBorder="1" applyAlignment="1" applyProtection="1">
      <alignment horizontal="center" vertical="top" wrapText="1"/>
      <protection locked="0"/>
    </xf>
    <xf numFmtId="166" fontId="88" fillId="0" borderId="19" xfId="20" applyNumberFormat="1" applyFont="1" applyBorder="1" applyAlignment="1" applyProtection="1">
      <alignment horizontal="center" vertical="center" wrapText="1"/>
    </xf>
    <xf numFmtId="166" fontId="50" fillId="0" borderId="19" xfId="20" applyNumberFormat="1" applyFont="1" applyBorder="1"/>
    <xf numFmtId="166" fontId="88" fillId="0" borderId="19" xfId="20" applyNumberFormat="1" applyFont="1" applyBorder="1" applyAlignment="1" applyProtection="1">
      <alignment horizontal="center" vertical="top" wrapText="1"/>
    </xf>
    <xf numFmtId="173" fontId="18" fillId="2" borderId="56" xfId="20" applyNumberFormat="1" applyFont="1" applyFill="1" applyBorder="1"/>
    <xf numFmtId="174" fontId="19" fillId="2" borderId="53" xfId="20" applyNumberFormat="1" applyFont="1" applyFill="1" applyBorder="1"/>
    <xf numFmtId="3" fontId="39" fillId="0" borderId="32" xfId="0" applyNumberFormat="1" applyFont="1" applyFill="1" applyBorder="1"/>
    <xf numFmtId="3" fontId="59" fillId="0" borderId="95" xfId="0" applyNumberFormat="1" applyFont="1" applyBorder="1"/>
    <xf numFmtId="3" fontId="7" fillId="0" borderId="68" xfId="0" applyNumberFormat="1" applyFont="1" applyFill="1" applyBorder="1" applyAlignment="1"/>
    <xf numFmtId="173" fontId="19" fillId="2" borderId="65" xfId="20" applyNumberFormat="1" applyFont="1" applyFill="1" applyBorder="1"/>
    <xf numFmtId="173" fontId="19" fillId="2" borderId="16" xfId="20" applyNumberFormat="1" applyFont="1" applyFill="1" applyBorder="1"/>
    <xf numFmtId="173" fontId="19" fillId="2" borderId="53" xfId="20" applyNumberFormat="1" applyFont="1" applyFill="1" applyBorder="1"/>
    <xf numFmtId="174" fontId="19" fillId="2" borderId="16" xfId="20" applyNumberFormat="1" applyFont="1" applyFill="1" applyBorder="1" applyAlignment="1">
      <alignment horizontal="right"/>
    </xf>
    <xf numFmtId="0" fontId="14" fillId="0" borderId="0" xfId="0" applyFont="1"/>
    <xf numFmtId="166" fontId="0" fillId="0" borderId="0" xfId="1" applyNumberFormat="1" applyFont="1" applyFill="1"/>
    <xf numFmtId="0" fontId="21" fillId="0" borderId="0" xfId="0" applyFont="1" applyAlignment="1"/>
    <xf numFmtId="166" fontId="6" fillId="0" borderId="8" xfId="2" applyNumberFormat="1" applyFont="1" applyBorder="1"/>
    <xf numFmtId="0" fontId="46" fillId="0" borderId="57" xfId="0" applyFont="1" applyBorder="1" applyAlignment="1">
      <alignment horizontal="left" vertical="center" wrapText="1"/>
    </xf>
    <xf numFmtId="0" fontId="46" fillId="0" borderId="25" xfId="0" applyFont="1" applyBorder="1" applyAlignment="1">
      <alignment horizontal="left" vertical="center" wrapText="1"/>
    </xf>
    <xf numFmtId="166" fontId="0" fillId="0" borderId="42" xfId="0" applyNumberFormat="1" applyBorder="1"/>
    <xf numFmtId="166" fontId="0" fillId="0" borderId="45" xfId="0" applyNumberFormat="1" applyBorder="1"/>
    <xf numFmtId="166" fontId="15" fillId="0" borderId="45" xfId="0" applyNumberFormat="1" applyFont="1" applyBorder="1" applyAlignment="1">
      <alignment horizontal="center" vertical="center" wrapText="1"/>
    </xf>
    <xf numFmtId="0" fontId="47" fillId="0" borderId="97" xfId="0" applyFont="1" applyBorder="1" applyAlignment="1">
      <alignment horizontal="left" vertical="center"/>
    </xf>
    <xf numFmtId="166" fontId="6" fillId="0" borderId="55" xfId="2" applyNumberFormat="1" applyFont="1" applyBorder="1" applyAlignment="1">
      <alignment horizontal="center"/>
    </xf>
    <xf numFmtId="166" fontId="6" fillId="0" borderId="19" xfId="2" applyNumberFormat="1" applyFont="1" applyBorder="1" applyAlignment="1">
      <alignment horizontal="center"/>
    </xf>
    <xf numFmtId="166" fontId="6" fillId="0" borderId="56" xfId="2" applyNumberFormat="1" applyFont="1" applyBorder="1" applyAlignment="1">
      <alignment horizontal="center"/>
    </xf>
    <xf numFmtId="166" fontId="6" fillId="0" borderId="14" xfId="2" applyNumberFormat="1" applyFont="1" applyBorder="1"/>
    <xf numFmtId="166" fontId="0" fillId="0" borderId="8" xfId="0" applyNumberFormat="1" applyFont="1" applyFill="1" applyBorder="1"/>
    <xf numFmtId="0" fontId="46" fillId="0" borderId="42" xfId="0" applyFont="1" applyFill="1" applyBorder="1" applyAlignment="1">
      <alignment horizontal="left" vertical="center" wrapText="1"/>
    </xf>
    <xf numFmtId="166" fontId="0" fillId="0" borderId="31" xfId="0" applyNumberFormat="1" applyFont="1" applyFill="1" applyBorder="1"/>
    <xf numFmtId="0" fontId="46" fillId="0" borderId="45" xfId="0" applyFont="1" applyFill="1" applyBorder="1" applyAlignment="1">
      <alignment horizontal="left" vertical="center" wrapText="1"/>
    </xf>
    <xf numFmtId="0" fontId="47" fillId="0" borderId="48" xfId="0" applyFont="1" applyFill="1" applyBorder="1" applyAlignment="1">
      <alignment horizontal="left" vertical="center"/>
    </xf>
    <xf numFmtId="166" fontId="6" fillId="0" borderId="17" xfId="0" applyNumberFormat="1" applyFont="1" applyFill="1" applyBorder="1"/>
    <xf numFmtId="166" fontId="6" fillId="0" borderId="11" xfId="0" applyNumberFormat="1" applyFont="1" applyFill="1" applyBorder="1"/>
    <xf numFmtId="166" fontId="0" fillId="0" borderId="42" xfId="0" applyNumberFormat="1" applyFill="1" applyBorder="1"/>
    <xf numFmtId="166" fontId="0" fillId="0" borderId="45" xfId="0" applyNumberFormat="1" applyFill="1" applyBorder="1"/>
    <xf numFmtId="166" fontId="14" fillId="0" borderId="45" xfId="0" applyNumberFormat="1" applyFont="1" applyFill="1" applyBorder="1" applyAlignment="1">
      <alignment horizontal="center" vertical="center" wrapText="1"/>
    </xf>
    <xf numFmtId="166" fontId="15" fillId="0" borderId="45" xfId="0" applyNumberFormat="1" applyFont="1" applyFill="1" applyBorder="1" applyAlignment="1">
      <alignment horizontal="center" vertical="center" wrapText="1"/>
    </xf>
    <xf numFmtId="166" fontId="6" fillId="0" borderId="22" xfId="2" applyNumberFormat="1" applyFont="1" applyFill="1" applyBorder="1"/>
    <xf numFmtId="166" fontId="6" fillId="0" borderId="12" xfId="2" applyNumberFormat="1" applyFont="1" applyFill="1" applyBorder="1"/>
    <xf numFmtId="0" fontId="47" fillId="0" borderId="7" xfId="0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 wrapText="1"/>
    </xf>
    <xf numFmtId="0" fontId="47" fillId="0" borderId="41" xfId="0" applyFont="1" applyFill="1" applyBorder="1" applyAlignment="1">
      <alignment horizontal="left" vertical="center"/>
    </xf>
    <xf numFmtId="166" fontId="6" fillId="0" borderId="15" xfId="0" applyNumberFormat="1" applyFont="1" applyFill="1" applyBorder="1"/>
    <xf numFmtId="166" fontId="6" fillId="0" borderId="63" xfId="2" applyNumberFormat="1" applyFont="1" applyFill="1" applyBorder="1"/>
    <xf numFmtId="166" fontId="6" fillId="0" borderId="15" xfId="2" applyNumberFormat="1" applyFont="1" applyFill="1" applyBorder="1"/>
    <xf numFmtId="166" fontId="14" fillId="0" borderId="16" xfId="1" applyNumberFormat="1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left" vertical="center" wrapText="1"/>
    </xf>
    <xf numFmtId="166" fontId="14" fillId="0" borderId="17" xfId="1" applyNumberFormat="1" applyFont="1" applyFill="1" applyBorder="1" applyAlignment="1">
      <alignment horizontal="center" vertical="center" wrapText="1"/>
    </xf>
    <xf numFmtId="166" fontId="14" fillId="0" borderId="30" xfId="1" applyNumberFormat="1" applyFont="1" applyFill="1" applyBorder="1" applyAlignment="1">
      <alignment horizontal="center" vertical="center" wrapText="1"/>
    </xf>
    <xf numFmtId="166" fontId="8" fillId="0" borderId="33" xfId="2" applyNumberFormat="1" applyFont="1" applyFill="1" applyBorder="1"/>
    <xf numFmtId="0" fontId="15" fillId="0" borderId="7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166" fontId="8" fillId="0" borderId="42" xfId="1" applyNumberFormat="1" applyFont="1" applyBorder="1"/>
    <xf numFmtId="166" fontId="8" fillId="0" borderId="19" xfId="1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left" vertical="center"/>
    </xf>
    <xf numFmtId="3" fontId="14" fillId="0" borderId="22" xfId="0" applyNumberFormat="1" applyFont="1" applyFill="1" applyBorder="1" applyAlignment="1">
      <alignment horizontal="center"/>
    </xf>
    <xf numFmtId="3" fontId="14" fillId="0" borderId="65" xfId="0" applyNumberFormat="1" applyFont="1" applyFill="1" applyBorder="1" applyAlignment="1">
      <alignment horizontal="center"/>
    </xf>
    <xf numFmtId="166" fontId="8" fillId="0" borderId="55" xfId="2" applyNumberFormat="1" applyFont="1" applyFill="1" applyBorder="1"/>
    <xf numFmtId="166" fontId="14" fillId="0" borderId="31" xfId="1" applyNumberFormat="1" applyFont="1" applyFill="1" applyBorder="1" applyAlignment="1">
      <alignment horizontal="center"/>
    </xf>
    <xf numFmtId="166" fontId="14" fillId="0" borderId="22" xfId="1" applyNumberFormat="1" applyFont="1" applyFill="1" applyBorder="1" applyAlignment="1">
      <alignment horizontal="center" vertical="center" wrapText="1"/>
    </xf>
    <xf numFmtId="166" fontId="14" fillId="0" borderId="65" xfId="1" applyNumberFormat="1" applyFont="1" applyFill="1" applyBorder="1" applyAlignment="1">
      <alignment horizontal="center" vertical="center" wrapText="1"/>
    </xf>
    <xf numFmtId="0" fontId="15" fillId="0" borderId="89" xfId="0" applyFont="1" applyFill="1" applyBorder="1" applyAlignment="1">
      <alignment horizontal="left" vertical="center" wrapText="1"/>
    </xf>
    <xf numFmtId="3" fontId="8" fillId="0" borderId="23" xfId="0" applyNumberFormat="1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center"/>
    </xf>
    <xf numFmtId="3" fontId="8" fillId="0" borderId="34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54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3" fontId="19" fillId="2" borderId="32" xfId="0" applyNumberFormat="1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center"/>
    </xf>
    <xf numFmtId="0" fontId="59" fillId="0" borderId="0" xfId="24" applyFont="1"/>
    <xf numFmtId="0" fontId="4" fillId="0" borderId="0" xfId="24"/>
    <xf numFmtId="166" fontId="59" fillId="0" borderId="0" xfId="20" applyNumberFormat="1" applyFont="1"/>
    <xf numFmtId="0" fontId="59" fillId="0" borderId="0" xfId="24" applyFont="1" applyAlignment="1"/>
    <xf numFmtId="0" fontId="66" fillId="0" borderId="55" xfId="24" applyFont="1" applyBorder="1" applyAlignment="1">
      <alignment wrapText="1"/>
    </xf>
    <xf numFmtId="0" fontId="66" fillId="0" borderId="19" xfId="24" applyFont="1" applyBorder="1" applyAlignment="1">
      <alignment wrapText="1"/>
    </xf>
    <xf numFmtId="166" fontId="66" fillId="0" borderId="19" xfId="20" applyNumberFormat="1" applyFont="1" applyBorder="1" applyAlignment="1">
      <alignment wrapText="1"/>
    </xf>
    <xf numFmtId="166" fontId="66" fillId="0" borderId="56" xfId="20" applyNumberFormat="1" applyFont="1" applyBorder="1" applyAlignment="1">
      <alignment wrapText="1"/>
    </xf>
    <xf numFmtId="0" fontId="59" fillId="0" borderId="55" xfId="24" applyFont="1" applyBorder="1" applyAlignment="1">
      <alignment horizontal="center"/>
    </xf>
    <xf numFmtId="0" fontId="59" fillId="0" borderId="19" xfId="24" applyFont="1" applyBorder="1" applyAlignment="1">
      <alignment horizontal="center"/>
    </xf>
    <xf numFmtId="0" fontId="59" fillId="0" borderId="19" xfId="20" applyNumberFormat="1" applyFont="1" applyBorder="1" applyAlignment="1">
      <alignment horizontal="center"/>
    </xf>
    <xf numFmtId="0" fontId="59" fillId="0" borderId="56" xfId="20" applyNumberFormat="1" applyFont="1" applyBorder="1" applyAlignment="1">
      <alignment horizontal="center"/>
    </xf>
    <xf numFmtId="0" fontId="59" fillId="0" borderId="89" xfId="24" applyFont="1" applyBorder="1" applyAlignment="1">
      <alignment horizontal="center"/>
    </xf>
    <xf numFmtId="0" fontId="59" fillId="0" borderId="22" xfId="24" applyFont="1" applyBorder="1"/>
    <xf numFmtId="166" fontId="59" fillId="0" borderId="22" xfId="20" applyNumberFormat="1" applyFont="1" applyBorder="1"/>
    <xf numFmtId="166" fontId="59" fillId="0" borderId="65" xfId="20" applyNumberFormat="1" applyFont="1" applyBorder="1"/>
    <xf numFmtId="0" fontId="59" fillId="0" borderId="45" xfId="24" applyFont="1" applyBorder="1" applyAlignment="1">
      <alignment horizontal="center"/>
    </xf>
    <xf numFmtId="0" fontId="59" fillId="0" borderId="8" xfId="24" applyFont="1" applyBorder="1"/>
    <xf numFmtId="166" fontId="59" fillId="0" borderId="8" xfId="20" applyNumberFormat="1" applyFont="1" applyBorder="1"/>
    <xf numFmtId="166" fontId="59" fillId="0" borderId="16" xfId="20" applyNumberFormat="1" applyFont="1" applyBorder="1"/>
    <xf numFmtId="0" fontId="67" fillId="0" borderId="45" xfId="24" applyFont="1" applyBorder="1" applyAlignment="1">
      <alignment horizontal="center"/>
    </xf>
    <xf numFmtId="0" fontId="67" fillId="0" borderId="8" xfId="24" applyFont="1" applyBorder="1" applyAlignment="1">
      <alignment wrapText="1"/>
    </xf>
    <xf numFmtId="166" fontId="67" fillId="0" borderId="8" xfId="20" applyNumberFormat="1" applyFont="1" applyBorder="1"/>
    <xf numFmtId="166" fontId="67" fillId="0" borderId="16" xfId="20" applyNumberFormat="1" applyFont="1" applyBorder="1"/>
    <xf numFmtId="0" fontId="68" fillId="0" borderId="0" xfId="24" applyFont="1"/>
    <xf numFmtId="0" fontId="68" fillId="0" borderId="45" xfId="24" applyFont="1" applyBorder="1" applyAlignment="1">
      <alignment horizontal="center"/>
    </xf>
    <xf numFmtId="0" fontId="68" fillId="0" borderId="8" xfId="24" applyFont="1" applyBorder="1" applyAlignment="1">
      <alignment wrapText="1"/>
    </xf>
    <xf numFmtId="166" fontId="68" fillId="0" borderId="8" xfId="20" applyNumberFormat="1" applyFont="1" applyBorder="1"/>
    <xf numFmtId="0" fontId="6" fillId="0" borderId="0" xfId="24" applyFont="1"/>
    <xf numFmtId="0" fontId="4" fillId="0" borderId="0" xfId="24" applyFont="1"/>
    <xf numFmtId="0" fontId="67" fillId="0" borderId="8" xfId="24" applyFont="1" applyBorder="1"/>
    <xf numFmtId="0" fontId="59" fillId="0" borderId="8" xfId="24" applyFont="1" applyBorder="1" applyAlignment="1">
      <alignment wrapText="1"/>
    </xf>
    <xf numFmtId="0" fontId="66" fillId="0" borderId="0" xfId="24" applyFont="1"/>
    <xf numFmtId="0" fontId="66" fillId="0" borderId="48" xfId="24" applyFont="1" applyBorder="1" applyAlignment="1">
      <alignment horizontal="center"/>
    </xf>
    <xf numFmtId="0" fontId="66" fillId="0" borderId="17" xfId="24" applyFont="1" applyBorder="1"/>
    <xf numFmtId="166" fontId="66" fillId="0" borderId="17" xfId="20" applyNumberFormat="1" applyFont="1" applyBorder="1"/>
    <xf numFmtId="0" fontId="30" fillId="0" borderId="0" xfId="24" applyFont="1"/>
    <xf numFmtId="49" fontId="7" fillId="0" borderId="45" xfId="24" applyNumberFormat="1" applyFont="1" applyBorder="1" applyAlignment="1">
      <alignment horizontal="center"/>
    </xf>
    <xf numFmtId="0" fontId="7" fillId="0" borderId="8" xfId="24" applyFont="1" applyBorder="1" applyAlignment="1">
      <alignment wrapText="1"/>
    </xf>
    <xf numFmtId="166" fontId="7" fillId="0" borderId="8" xfId="20" applyNumberFormat="1" applyFont="1" applyBorder="1"/>
    <xf numFmtId="166" fontId="7" fillId="0" borderId="16" xfId="20" applyNumberFormat="1" applyFont="1" applyBorder="1"/>
    <xf numFmtId="166" fontId="14" fillId="0" borderId="42" xfId="1" applyNumberFormat="1" applyFont="1" applyBorder="1"/>
    <xf numFmtId="166" fontId="14" fillId="0" borderId="45" xfId="1" applyNumberFormat="1" applyFont="1" applyBorder="1"/>
    <xf numFmtId="3" fontId="7" fillId="0" borderId="68" xfId="0" applyNumberFormat="1" applyFont="1" applyBorder="1" applyAlignment="1"/>
    <xf numFmtId="3" fontId="7" fillId="0" borderId="2" xfId="0" applyNumberFormat="1" applyFont="1" applyBorder="1" applyAlignment="1"/>
    <xf numFmtId="166" fontId="7" fillId="0" borderId="2" xfId="1" applyNumberFormat="1" applyFont="1" applyBorder="1" applyAlignment="1"/>
    <xf numFmtId="0" fontId="14" fillId="0" borderId="0" xfId="12" applyFont="1"/>
    <xf numFmtId="49" fontId="14" fillId="0" borderId="0" xfId="12" applyNumberFormat="1" applyFont="1" applyFill="1" applyAlignment="1">
      <alignment horizontal="center" vertical="center" wrapText="1"/>
    </xf>
    <xf numFmtId="164" fontId="14" fillId="0" borderId="0" xfId="12" applyNumberFormat="1" applyFont="1" applyFill="1" applyAlignment="1">
      <alignment vertical="center" wrapText="1"/>
    </xf>
    <xf numFmtId="164" fontId="14" fillId="0" borderId="0" xfId="12" applyNumberFormat="1" applyFont="1" applyFill="1" applyAlignment="1">
      <alignment horizontal="center" vertical="center" wrapText="1"/>
    </xf>
    <xf numFmtId="164" fontId="52" fillId="0" borderId="0" xfId="12" applyNumberFormat="1" applyFont="1" applyFill="1" applyAlignment="1">
      <alignment horizontal="center"/>
    </xf>
    <xf numFmtId="0" fontId="57" fillId="0" borderId="0" xfId="12" applyFont="1"/>
    <xf numFmtId="0" fontId="14" fillId="2" borderId="0" xfId="12" applyFont="1" applyFill="1"/>
    <xf numFmtId="164" fontId="8" fillId="5" borderId="19" xfId="12" applyNumberFormat="1" applyFont="1" applyFill="1" applyBorder="1" applyAlignment="1">
      <alignment horizontal="center" vertical="center" wrapText="1"/>
    </xf>
    <xf numFmtId="164" fontId="8" fillId="5" borderId="56" xfId="12" applyNumberFormat="1" applyFont="1" applyFill="1" applyBorder="1" applyAlignment="1">
      <alignment horizontal="center" vertical="center" wrapText="1"/>
    </xf>
    <xf numFmtId="166" fontId="8" fillId="0" borderId="59" xfId="1" applyNumberFormat="1" applyFont="1" applyFill="1" applyBorder="1" applyAlignment="1">
      <alignment horizontal="center"/>
    </xf>
    <xf numFmtId="0" fontId="14" fillId="0" borderId="45" xfId="0" applyNumberFormat="1" applyFont="1" applyFill="1" applyBorder="1" applyAlignment="1">
      <alignment horizontal="center" vertical="center" wrapText="1"/>
    </xf>
    <xf numFmtId="166" fontId="0" fillId="0" borderId="45" xfId="0" applyNumberFormat="1" applyFill="1" applyBorder="1" applyAlignment="1">
      <alignment horizontal="center"/>
    </xf>
    <xf numFmtId="0" fontId="45" fillId="0" borderId="36" xfId="0" applyFont="1" applyFill="1" applyBorder="1"/>
    <xf numFmtId="166" fontId="45" fillId="0" borderId="37" xfId="2" applyNumberFormat="1" applyFont="1" applyFill="1" applyBorder="1"/>
    <xf numFmtId="166" fontId="45" fillId="0" borderId="54" xfId="2" applyNumberFormat="1" applyFont="1" applyFill="1" applyBorder="1"/>
    <xf numFmtId="1" fontId="0" fillId="0" borderId="0" xfId="0" applyNumberFormat="1" applyAlignment="1"/>
    <xf numFmtId="1" fontId="0" fillId="0" borderId="0" xfId="0" applyNumberFormat="1" applyAlignment="1">
      <alignment horizontal="right"/>
    </xf>
    <xf numFmtId="166" fontId="14" fillId="0" borderId="42" xfId="2" applyNumberFormat="1" applyFont="1" applyFill="1" applyBorder="1"/>
    <xf numFmtId="166" fontId="14" fillId="0" borderId="31" xfId="2" applyNumberFormat="1" applyFont="1" applyFill="1" applyBorder="1"/>
    <xf numFmtId="166" fontId="14" fillId="0" borderId="45" xfId="2" applyNumberFormat="1" applyFont="1" applyFill="1" applyBorder="1"/>
    <xf numFmtId="166" fontId="14" fillId="0" borderId="52" xfId="2" applyNumberFormat="1" applyFont="1" applyFill="1" applyBorder="1"/>
    <xf numFmtId="166" fontId="8" fillId="0" borderId="41" xfId="2" applyNumberFormat="1" applyFont="1" applyFill="1" applyBorder="1"/>
    <xf numFmtId="0" fontId="5" fillId="0" borderId="90" xfId="0" applyFont="1" applyFill="1" applyBorder="1" applyAlignment="1">
      <alignment horizontal="left" vertical="center"/>
    </xf>
    <xf numFmtId="166" fontId="8" fillId="0" borderId="88" xfId="2" applyNumberFormat="1" applyFont="1" applyFill="1" applyBorder="1"/>
    <xf numFmtId="3" fontId="8" fillId="0" borderId="91" xfId="0" applyNumberFormat="1" applyFont="1" applyFill="1" applyBorder="1" applyAlignment="1">
      <alignment horizontal="center"/>
    </xf>
    <xf numFmtId="166" fontId="14" fillId="0" borderId="17" xfId="2" applyNumberFormat="1" applyFont="1" applyFill="1" applyBorder="1"/>
    <xf numFmtId="166" fontId="14" fillId="0" borderId="17" xfId="1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/>
    </xf>
    <xf numFmtId="166" fontId="21" fillId="0" borderId="0" xfId="1" applyNumberFormat="1" applyFont="1" applyFill="1" applyAlignment="1"/>
    <xf numFmtId="166" fontId="21" fillId="0" borderId="0" xfId="1" applyNumberFormat="1" applyFont="1" applyAlignment="1"/>
    <xf numFmtId="166" fontId="0" fillId="0" borderId="0" xfId="1" applyNumberFormat="1" applyFont="1" applyFill="1" applyAlignment="1"/>
    <xf numFmtId="166" fontId="12" fillId="0" borderId="0" xfId="1" applyNumberFormat="1" applyFont="1" applyFill="1"/>
    <xf numFmtId="166" fontId="15" fillId="0" borderId="0" xfId="1" applyNumberFormat="1" applyFont="1" applyFill="1" applyBorder="1" applyAlignment="1">
      <alignment horizontal="center" wrapText="1"/>
    </xf>
    <xf numFmtId="166" fontId="18" fillId="0" borderId="0" xfId="1" applyNumberFormat="1" applyFont="1" applyFill="1" applyBorder="1" applyAlignment="1">
      <alignment horizontal="center"/>
    </xf>
    <xf numFmtId="166" fontId="19" fillId="0" borderId="0" xfId="1" applyNumberFormat="1" applyFont="1" applyFill="1" applyBorder="1" applyAlignment="1"/>
    <xf numFmtId="166" fontId="6" fillId="0" borderId="0" xfId="1" applyNumberFormat="1" applyFont="1" applyFill="1"/>
    <xf numFmtId="0" fontId="61" fillId="0" borderId="0" xfId="16" applyFont="1" applyAlignment="1">
      <alignment horizontal="center"/>
    </xf>
    <xf numFmtId="0" fontId="50" fillId="0" borderId="0" xfId="14" applyFont="1" applyFill="1" applyAlignment="1">
      <alignment horizontal="center" vertical="center" wrapText="1"/>
    </xf>
    <xf numFmtId="0" fontId="84" fillId="0" borderId="41" xfId="14" applyFont="1" applyFill="1" applyBorder="1" applyAlignment="1">
      <alignment horizontal="left"/>
    </xf>
    <xf numFmtId="0" fontId="84" fillId="0" borderId="27" xfId="14" applyFont="1" applyFill="1" applyBorder="1" applyAlignment="1">
      <alignment horizontal="left"/>
    </xf>
    <xf numFmtId="0" fontId="91" fillId="0" borderId="98" xfId="14" applyFont="1" applyFill="1" applyBorder="1" applyAlignment="1" applyProtection="1">
      <alignment horizontal="center" vertical="center" wrapText="1"/>
    </xf>
    <xf numFmtId="0" fontId="91" fillId="0" borderId="90" xfId="14" applyFont="1" applyFill="1" applyBorder="1" applyAlignment="1" applyProtection="1">
      <alignment horizontal="center" vertical="center" wrapText="1"/>
    </xf>
    <xf numFmtId="0" fontId="80" fillId="0" borderId="38" xfId="13" applyFont="1" applyFill="1" applyBorder="1" applyAlignment="1" applyProtection="1">
      <alignment horizontal="center" vertical="center" textRotation="90"/>
    </xf>
    <xf numFmtId="0" fontId="80" fillId="0" borderId="97" xfId="13" applyFont="1" applyFill="1" applyBorder="1" applyAlignment="1" applyProtection="1">
      <alignment horizontal="center" vertical="center" textRotation="90"/>
    </xf>
    <xf numFmtId="0" fontId="80" fillId="0" borderId="51" xfId="13" applyFont="1" applyFill="1" applyBorder="1" applyAlignment="1" applyProtection="1">
      <alignment horizontal="center" vertical="center" textRotation="91"/>
    </xf>
    <xf numFmtId="0" fontId="80" fillId="0" borderId="18" xfId="13" applyFont="1" applyFill="1" applyBorder="1" applyAlignment="1" applyProtection="1">
      <alignment horizontal="center" vertical="center" textRotation="91"/>
    </xf>
    <xf numFmtId="0" fontId="80" fillId="0" borderId="64" xfId="13" applyFont="1" applyFill="1" applyBorder="1" applyAlignment="1" applyProtection="1">
      <alignment horizontal="center" vertical="center" textRotation="91"/>
    </xf>
    <xf numFmtId="0" fontId="92" fillId="0" borderId="68" xfId="14" applyFont="1" applyFill="1" applyBorder="1" applyAlignment="1" applyProtection="1">
      <alignment horizontal="center" vertical="center" wrapText="1"/>
    </xf>
    <xf numFmtId="0" fontId="92" fillId="0" borderId="29" xfId="14" applyFont="1" applyFill="1" applyBorder="1" applyAlignment="1" applyProtection="1">
      <alignment horizontal="center" vertical="center" wrapText="1"/>
    </xf>
    <xf numFmtId="0" fontId="92" fillId="0" borderId="70" xfId="14" applyFont="1" applyFill="1" applyBorder="1" applyAlignment="1" applyProtection="1">
      <alignment horizontal="center" wrapText="1"/>
    </xf>
    <xf numFmtId="0" fontId="92" fillId="0" borderId="18" xfId="14" applyFont="1" applyFill="1" applyBorder="1" applyAlignment="1" applyProtection="1">
      <alignment horizontal="center" wrapText="1"/>
    </xf>
    <xf numFmtId="0" fontId="61" fillId="5" borderId="0" xfId="16" applyFont="1" applyFill="1" applyAlignment="1">
      <alignment horizontal="center"/>
    </xf>
    <xf numFmtId="166" fontId="4" fillId="6" borderId="16" xfId="2" applyNumberFormat="1" applyFont="1" applyFill="1" applyBorder="1"/>
    <xf numFmtId="0" fontId="96" fillId="0" borderId="0" xfId="0" applyFont="1" applyAlignment="1">
      <alignment horizontal="center"/>
    </xf>
    <xf numFmtId="0" fontId="96" fillId="0" borderId="17" xfId="11" applyFont="1" applyFill="1" applyBorder="1" applyAlignment="1" applyProtection="1">
      <alignment horizontal="center" vertical="center" wrapText="1"/>
    </xf>
    <xf numFmtId="0" fontId="96" fillId="0" borderId="59" xfId="11" applyFont="1" applyFill="1" applyBorder="1" applyAlignment="1" applyProtection="1">
      <alignment horizontal="left" vertical="center" wrapText="1"/>
    </xf>
    <xf numFmtId="0" fontId="15" fillId="0" borderId="0" xfId="16" applyFont="1" applyAlignment="1">
      <alignment horizontal="center" wrapText="1"/>
    </xf>
    <xf numFmtId="0" fontId="93" fillId="0" borderId="0" xfId="16" applyFont="1" applyBorder="1" applyAlignment="1">
      <alignment horizontal="right"/>
    </xf>
    <xf numFmtId="0" fontId="91" fillId="0" borderId="1" xfId="14" applyFont="1" applyFill="1" applyBorder="1" applyAlignment="1" applyProtection="1">
      <alignment horizontal="center" vertical="center"/>
    </xf>
    <xf numFmtId="0" fontId="80" fillId="0" borderId="4" xfId="13" applyFont="1" applyFill="1" applyBorder="1" applyAlignment="1" applyProtection="1">
      <alignment horizontal="center" vertical="center" textRotation="90"/>
    </xf>
    <xf numFmtId="0" fontId="92" fillId="0" borderId="1" xfId="14" applyFont="1" applyFill="1" applyBorder="1" applyAlignment="1" applyProtection="1">
      <alignment horizontal="center" vertical="center" wrapText="1"/>
    </xf>
    <xf numFmtId="0" fontId="92" fillId="0" borderId="35" xfId="14" applyFont="1" applyFill="1" applyBorder="1" applyAlignment="1" applyProtection="1">
      <alignment horizontal="center" vertical="center" wrapText="1"/>
    </xf>
    <xf numFmtId="170" fontId="81" fillId="0" borderId="57" xfId="13" applyNumberFormat="1" applyFont="1" applyFill="1" applyBorder="1" applyAlignment="1" applyProtection="1">
      <alignment horizontal="center" vertical="center"/>
    </xf>
    <xf numFmtId="0" fontId="8" fillId="0" borderId="0" xfId="16" applyFont="1"/>
    <xf numFmtId="171" fontId="77" fillId="0" borderId="6" xfId="14" applyNumberFormat="1" applyFont="1" applyFill="1" applyBorder="1" applyAlignment="1" applyProtection="1">
      <alignment horizontal="right" vertical="center" wrapText="1"/>
      <protection locked="0"/>
    </xf>
    <xf numFmtId="171" fontId="77" fillId="0" borderId="2" xfId="14" applyNumberFormat="1" applyFont="1" applyFill="1" applyBorder="1" applyAlignment="1" applyProtection="1">
      <alignment horizontal="right" vertical="center" wrapText="1"/>
      <protection locked="0"/>
    </xf>
    <xf numFmtId="170" fontId="83" fillId="0" borderId="62" xfId="13" applyNumberFormat="1" applyFont="1" applyFill="1" applyBorder="1" applyAlignment="1" applyProtection="1">
      <alignment horizontal="center" vertical="center"/>
    </xf>
    <xf numFmtId="174" fontId="19" fillId="2" borderId="53" xfId="20" applyNumberFormat="1" applyFont="1" applyFill="1" applyBorder="1" applyAlignment="1">
      <alignment horizontal="right"/>
    </xf>
    <xf numFmtId="173" fontId="43" fillId="2" borderId="56" xfId="20" applyNumberFormat="1" applyFont="1" applyFill="1" applyBorder="1" applyAlignment="1"/>
    <xf numFmtId="173" fontId="19" fillId="2" borderId="65" xfId="20" applyNumberFormat="1" applyFont="1" applyFill="1" applyBorder="1" applyAlignment="1">
      <alignment horizontal="right"/>
    </xf>
    <xf numFmtId="173" fontId="19" fillId="2" borderId="16" xfId="20" applyNumberFormat="1" applyFont="1" applyFill="1" applyBorder="1" applyAlignment="1">
      <alignment horizontal="right"/>
    </xf>
    <xf numFmtId="166" fontId="19" fillId="2" borderId="16" xfId="20" applyNumberFormat="1" applyFont="1" applyFill="1" applyBorder="1" applyAlignment="1">
      <alignment horizontal="right"/>
    </xf>
    <xf numFmtId="173" fontId="19" fillId="2" borderId="53" xfId="20" applyNumberFormat="1" applyFont="1" applyFill="1" applyBorder="1" applyAlignment="1">
      <alignment horizontal="right"/>
    </xf>
    <xf numFmtId="173" fontId="18" fillId="2" borderId="56" xfId="20" applyNumberFormat="1" applyFont="1" applyFill="1" applyBorder="1" applyAlignment="1">
      <alignment horizontal="right"/>
    </xf>
    <xf numFmtId="0" fontId="0" fillId="0" borderId="7" xfId="0" applyBorder="1" applyAlignment="1">
      <alignment vertical="center" wrapText="1"/>
    </xf>
    <xf numFmtId="0" fontId="13" fillId="0" borderId="71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0" fillId="0" borderId="7" xfId="0" applyBorder="1"/>
    <xf numFmtId="0" fontId="13" fillId="0" borderId="7" xfId="0" applyFont="1" applyBorder="1"/>
    <xf numFmtId="0" fontId="13" fillId="0" borderId="28" xfId="0" applyFont="1" applyBorder="1"/>
    <xf numFmtId="0" fontId="0" fillId="0" borderId="6" xfId="0" applyBorder="1" applyAlignment="1">
      <alignment vertical="center" wrapText="1"/>
    </xf>
    <xf numFmtId="166" fontId="15" fillId="0" borderId="15" xfId="1" applyNumberFormat="1" applyFont="1" applyBorder="1"/>
    <xf numFmtId="166" fontId="8" fillId="0" borderId="88" xfId="1" applyNumberFormat="1" applyFont="1" applyFill="1" applyBorder="1"/>
    <xf numFmtId="166" fontId="15" fillId="0" borderId="13" xfId="1" applyNumberFormat="1" applyFont="1" applyBorder="1"/>
    <xf numFmtId="166" fontId="14" fillId="0" borderId="42" xfId="1" applyNumberFormat="1" applyFont="1" applyFill="1" applyBorder="1" applyAlignment="1"/>
    <xf numFmtId="166" fontId="15" fillId="0" borderId="32" xfId="1" applyNumberFormat="1" applyFont="1" applyBorder="1"/>
    <xf numFmtId="166" fontId="14" fillId="0" borderId="45" xfId="1" applyNumberFormat="1" applyFont="1" applyFill="1" applyBorder="1" applyAlignment="1"/>
    <xf numFmtId="166" fontId="15" fillId="0" borderId="16" xfId="1" applyNumberFormat="1" applyFont="1" applyBorder="1"/>
    <xf numFmtId="166" fontId="14" fillId="0" borderId="45" xfId="1" applyNumberFormat="1" applyFont="1" applyFill="1" applyBorder="1"/>
    <xf numFmtId="166" fontId="14" fillId="0" borderId="48" xfId="1" applyNumberFormat="1" applyFont="1" applyFill="1" applyBorder="1"/>
    <xf numFmtId="166" fontId="14" fillId="0" borderId="17" xfId="1" applyNumberFormat="1" applyFont="1" applyFill="1" applyBorder="1"/>
    <xf numFmtId="166" fontId="15" fillId="0" borderId="30" xfId="1" applyNumberFormat="1" applyFont="1" applyBorder="1"/>
    <xf numFmtId="166" fontId="15" fillId="0" borderId="57" xfId="1" applyNumberFormat="1" applyFont="1" applyBorder="1"/>
    <xf numFmtId="166" fontId="15" fillId="0" borderId="25" xfId="1" applyNumberFormat="1" applyFont="1" applyBorder="1"/>
    <xf numFmtId="166" fontId="15" fillId="0" borderId="25" xfId="1" applyNumberFormat="1" applyFont="1" applyFill="1" applyBorder="1"/>
    <xf numFmtId="166" fontId="15" fillId="0" borderId="58" xfId="1" applyNumberFormat="1" applyFont="1" applyBorder="1"/>
    <xf numFmtId="166" fontId="8" fillId="0" borderId="90" xfId="1" applyNumberFormat="1" applyFont="1" applyBorder="1"/>
    <xf numFmtId="166" fontId="8" fillId="0" borderId="88" xfId="1" applyNumberFormat="1" applyFont="1" applyBorder="1"/>
    <xf numFmtId="166" fontId="8" fillId="0" borderId="91" xfId="1" applyNumberFormat="1" applyFont="1" applyBorder="1"/>
    <xf numFmtId="166" fontId="15" fillId="0" borderId="64" xfId="1" applyNumberFormat="1" applyFont="1" applyBorder="1"/>
    <xf numFmtId="166" fontId="14" fillId="0" borderId="48" xfId="1" applyNumberFormat="1" applyFont="1" applyBorder="1"/>
    <xf numFmtId="166" fontId="14" fillId="0" borderId="17" xfId="1" applyNumberFormat="1" applyFont="1" applyBorder="1"/>
    <xf numFmtId="166" fontId="5" fillId="0" borderId="0" xfId="1" applyNumberFormat="1" applyFont="1"/>
    <xf numFmtId="0" fontId="1" fillId="0" borderId="0" xfId="27"/>
    <xf numFmtId="0" fontId="101" fillId="0" borderId="8" xfId="27" applyFont="1" applyBorder="1" applyAlignment="1">
      <alignment horizontal="center" vertical="center" wrapText="1"/>
    </xf>
    <xf numFmtId="0" fontId="100" fillId="0" borderId="8" xfId="27" applyFont="1" applyBorder="1" applyAlignment="1">
      <alignment horizontal="center" vertical="center" wrapText="1"/>
    </xf>
    <xf numFmtId="0" fontId="101" fillId="0" borderId="0" xfId="27" applyFont="1" applyAlignment="1">
      <alignment horizontal="center" vertical="center" wrapText="1"/>
    </xf>
    <xf numFmtId="0" fontId="1" fillId="0" borderId="8" xfId="27" applyBorder="1" applyAlignment="1">
      <alignment horizontal="center" vertical="center"/>
    </xf>
    <xf numFmtId="0" fontId="103" fillId="0" borderId="8" xfId="27" applyFont="1" applyBorder="1" applyAlignment="1">
      <alignment horizontal="center" vertical="center" wrapText="1"/>
    </xf>
    <xf numFmtId="166" fontId="0" fillId="0" borderId="8" xfId="28" applyNumberFormat="1" applyFont="1" applyBorder="1" applyAlignment="1">
      <alignment horizontal="center" vertical="center"/>
    </xf>
    <xf numFmtId="166" fontId="100" fillId="0" borderId="8" xfId="28" applyNumberFormat="1" applyFont="1" applyBorder="1" applyAlignment="1">
      <alignment horizontal="center" vertical="center"/>
    </xf>
    <xf numFmtId="14" fontId="1" fillId="0" borderId="8" xfId="27" applyNumberFormat="1" applyBorder="1" applyAlignment="1">
      <alignment horizontal="center" vertical="center"/>
    </xf>
    <xf numFmtId="0" fontId="102" fillId="0" borderId="8" xfId="27" applyFont="1" applyBorder="1" applyAlignment="1">
      <alignment horizontal="center" vertical="center"/>
    </xf>
    <xf numFmtId="0" fontId="105" fillId="0" borderId="8" xfId="27" applyFont="1" applyBorder="1" applyAlignment="1">
      <alignment horizontal="center" vertical="center"/>
    </xf>
    <xf numFmtId="166" fontId="102" fillId="0" borderId="8" xfId="27" applyNumberFormat="1" applyFont="1" applyBorder="1" applyAlignment="1">
      <alignment horizontal="center" vertical="center"/>
    </xf>
    <xf numFmtId="166" fontId="102" fillId="0" borderId="8" xfId="27" applyNumberFormat="1" applyFont="1" applyFill="1" applyBorder="1" applyAlignment="1">
      <alignment horizontal="center" vertical="center"/>
    </xf>
    <xf numFmtId="0" fontId="102" fillId="0" borderId="8" xfId="27" applyFont="1" applyFill="1" applyBorder="1" applyAlignment="1">
      <alignment horizontal="center" vertical="center"/>
    </xf>
    <xf numFmtId="0" fontId="1" fillId="0" borderId="0" xfId="27" applyBorder="1" applyAlignment="1"/>
    <xf numFmtId="0" fontId="102" fillId="0" borderId="0" xfId="27" applyFont="1" applyBorder="1"/>
    <xf numFmtId="0" fontId="1" fillId="0" borderId="0" xfId="27" applyAlignment="1">
      <alignment horizontal="center" vertical="center"/>
    </xf>
    <xf numFmtId="0" fontId="101" fillId="0" borderId="0" xfId="27" applyFont="1"/>
    <xf numFmtId="166" fontId="16" fillId="0" borderId="0" xfId="20" applyNumberFormat="1" applyFont="1"/>
    <xf numFmtId="166" fontId="14" fillId="0" borderId="0" xfId="20" applyNumberFormat="1" applyFont="1"/>
    <xf numFmtId="0" fontId="21" fillId="0" borderId="0" xfId="16" applyFont="1"/>
    <xf numFmtId="166" fontId="21" fillId="0" borderId="0" xfId="20" applyNumberFormat="1" applyFont="1"/>
    <xf numFmtId="166" fontId="14" fillId="0" borderId="0" xfId="20" applyNumberFormat="1" applyFont="1" applyBorder="1"/>
    <xf numFmtId="166" fontId="14" fillId="0" borderId="0" xfId="20" applyNumberFormat="1" applyFont="1" applyAlignment="1">
      <alignment horizontal="right"/>
    </xf>
    <xf numFmtId="166" fontId="14" fillId="0" borderId="0" xfId="20" applyNumberFormat="1" applyFont="1" applyAlignment="1"/>
    <xf numFmtId="0" fontId="15" fillId="0" borderId="66" xfId="16" applyFont="1" applyBorder="1" applyAlignment="1">
      <alignment horizontal="center" vertical="center" wrapText="1"/>
    </xf>
    <xf numFmtId="166" fontId="15" fillId="0" borderId="33" xfId="20" applyNumberFormat="1" applyFont="1" applyBorder="1" applyAlignment="1">
      <alignment horizontal="center" vertical="center" wrapText="1"/>
    </xf>
    <xf numFmtId="166" fontId="15" fillId="0" borderId="67" xfId="20" applyNumberFormat="1" applyFont="1" applyBorder="1" applyAlignment="1">
      <alignment horizontal="center" vertical="center" wrapText="1"/>
    </xf>
    <xf numFmtId="166" fontId="14" fillId="0" borderId="0" xfId="20" applyNumberFormat="1" applyFont="1" applyAlignment="1">
      <alignment wrapText="1"/>
    </xf>
    <xf numFmtId="0" fontId="14" fillId="0" borderId="42" xfId="16" applyFont="1" applyBorder="1"/>
    <xf numFmtId="166" fontId="14" fillId="5" borderId="31" xfId="20" applyNumberFormat="1" applyFont="1" applyFill="1" applyBorder="1"/>
    <xf numFmtId="166" fontId="14" fillId="0" borderId="31" xfId="20" applyNumberFormat="1" applyFont="1" applyBorder="1"/>
    <xf numFmtId="166" fontId="14" fillId="0" borderId="32" xfId="20" applyNumberFormat="1" applyFont="1" applyBorder="1"/>
    <xf numFmtId="166" fontId="14" fillId="0" borderId="8" xfId="20" applyNumberFormat="1" applyFont="1" applyFill="1" applyBorder="1"/>
    <xf numFmtId="166" fontId="14" fillId="0" borderId="8" xfId="20" applyNumberFormat="1" applyFont="1" applyBorder="1"/>
    <xf numFmtId="166" fontId="14" fillId="0" borderId="16" xfId="20" applyNumberFormat="1" applyFont="1" applyBorder="1"/>
    <xf numFmtId="166" fontId="14" fillId="5" borderId="8" xfId="20" applyNumberFormat="1" applyFont="1" applyFill="1" applyBorder="1"/>
    <xf numFmtId="0" fontId="8" fillId="0" borderId="45" xfId="16" applyFont="1" applyFill="1" applyBorder="1" applyAlignment="1">
      <alignment vertical="center" wrapText="1"/>
    </xf>
    <xf numFmtId="166" fontId="8" fillId="0" borderId="8" xfId="20" applyNumberFormat="1" applyFont="1" applyFill="1" applyBorder="1"/>
    <xf numFmtId="0" fontId="14" fillId="0" borderId="48" xfId="16" applyFont="1" applyFill="1" applyBorder="1" applyAlignment="1">
      <alignment vertical="center" wrapText="1"/>
    </xf>
    <xf numFmtId="166" fontId="14" fillId="0" borderId="17" xfId="20" applyNumberFormat="1" applyFont="1" applyFill="1" applyBorder="1"/>
    <xf numFmtId="166" fontId="14" fillId="0" borderId="17" xfId="20" applyNumberFormat="1" applyFont="1" applyBorder="1"/>
    <xf numFmtId="166" fontId="14" fillId="0" borderId="30" xfId="20" applyNumberFormat="1" applyFont="1" applyBorder="1"/>
    <xf numFmtId="166" fontId="52" fillId="0" borderId="19" xfId="20" applyNumberFormat="1" applyFont="1" applyFill="1" applyBorder="1"/>
    <xf numFmtId="166" fontId="52" fillId="0" borderId="56" xfId="20" applyNumberFormat="1" applyFont="1" applyFill="1" applyBorder="1"/>
    <xf numFmtId="166" fontId="52" fillId="0" borderId="0" xfId="20" applyNumberFormat="1" applyFont="1"/>
    <xf numFmtId="166" fontId="15" fillId="0" borderId="19" xfId="20" applyNumberFormat="1" applyFont="1" applyBorder="1" applyAlignment="1">
      <alignment horizontal="center" vertical="center" wrapText="1"/>
    </xf>
    <xf numFmtId="0" fontId="52" fillId="0" borderId="0" xfId="16" applyFont="1" applyFill="1" applyBorder="1"/>
    <xf numFmtId="166" fontId="52" fillId="0" borderId="0" xfId="20" applyNumberFormat="1" applyFont="1" applyFill="1" applyBorder="1"/>
    <xf numFmtId="166" fontId="14" fillId="0" borderId="0" xfId="20" applyNumberFormat="1" applyFont="1" applyBorder="1" applyAlignment="1">
      <alignment horizontal="right"/>
    </xf>
    <xf numFmtId="166" fontId="14" fillId="0" borderId="0" xfId="20" applyNumberFormat="1" applyFont="1" applyBorder="1" applyAlignment="1"/>
    <xf numFmtId="0" fontId="15" fillId="0" borderId="60" xfId="16" applyFont="1" applyBorder="1" applyAlignment="1">
      <alignment horizontal="center" vertical="center" wrapText="1"/>
    </xf>
    <xf numFmtId="166" fontId="15" fillId="0" borderId="1" xfId="20" applyNumberFormat="1" applyFont="1" applyBorder="1" applyAlignment="1">
      <alignment horizontal="center" vertical="center" wrapText="1"/>
    </xf>
    <xf numFmtId="166" fontId="8" fillId="0" borderId="1" xfId="20" applyNumberFormat="1" applyFont="1" applyBorder="1" applyAlignment="1">
      <alignment horizontal="center" vertical="center" wrapText="1"/>
    </xf>
    <xf numFmtId="0" fontId="14" fillId="0" borderId="68" xfId="16" applyFont="1" applyFill="1" applyBorder="1" applyAlignment="1">
      <alignment vertical="center" wrapText="1"/>
    </xf>
    <xf numFmtId="166" fontId="14" fillId="0" borderId="12" xfId="20" applyNumberFormat="1" applyFont="1" applyBorder="1" applyAlignment="1">
      <alignment horizontal="center" vertical="center" wrapText="1"/>
    </xf>
    <xf numFmtId="166" fontId="14" fillId="0" borderId="61" xfId="20" applyNumberFormat="1" applyFont="1" applyBorder="1" applyAlignment="1">
      <alignment vertical="center" wrapText="1"/>
    </xf>
    <xf numFmtId="166" fontId="14" fillId="0" borderId="12" xfId="20" applyNumberFormat="1" applyFont="1" applyBorder="1" applyAlignment="1">
      <alignment vertical="center" wrapText="1"/>
    </xf>
    <xf numFmtId="0" fontId="14" fillId="0" borderId="2" xfId="16" applyFont="1" applyBorder="1" applyAlignment="1">
      <alignment horizontal="left" vertical="center" wrapText="1"/>
    </xf>
    <xf numFmtId="166" fontId="14" fillId="0" borderId="2" xfId="20" applyNumberFormat="1" applyFont="1" applyBorder="1" applyAlignment="1">
      <alignment horizontal="center" vertical="center" wrapText="1"/>
    </xf>
    <xf numFmtId="166" fontId="14" fillId="0" borderId="62" xfId="20" applyNumberFormat="1" applyFont="1" applyBorder="1" applyAlignment="1">
      <alignment vertical="center" wrapText="1"/>
    </xf>
    <xf numFmtId="166" fontId="14" fillId="0" borderId="2" xfId="20" applyNumberFormat="1" applyFont="1" applyBorder="1" applyAlignment="1">
      <alignment vertical="center" wrapText="1"/>
    </xf>
    <xf numFmtId="166" fontId="14" fillId="0" borderId="29" xfId="20" applyNumberFormat="1" applyFont="1" applyBorder="1" applyAlignment="1">
      <alignment horizontal="center" vertical="center" wrapText="1"/>
    </xf>
    <xf numFmtId="0" fontId="14" fillId="0" borderId="29" xfId="16" applyFont="1" applyBorder="1" applyAlignment="1">
      <alignment horizontal="left" vertical="center" wrapText="1"/>
    </xf>
    <xf numFmtId="166" fontId="14" fillId="0" borderId="21" xfId="20" applyNumberFormat="1" applyFont="1" applyBorder="1" applyAlignment="1">
      <alignment horizontal="center" vertical="center" wrapText="1"/>
    </xf>
    <xf numFmtId="166" fontId="14" fillId="0" borderId="25" xfId="20" applyNumberFormat="1" applyFont="1" applyBorder="1" applyAlignment="1">
      <alignment vertical="center" wrapText="1"/>
    </xf>
    <xf numFmtId="166" fontId="14" fillId="0" borderId="29" xfId="20" applyNumberFormat="1" applyFont="1" applyBorder="1" applyAlignment="1">
      <alignment vertical="center" wrapText="1"/>
    </xf>
    <xf numFmtId="166" fontId="58" fillId="0" borderId="1" xfId="20" applyNumberFormat="1" applyFont="1" applyBorder="1"/>
    <xf numFmtId="166" fontId="52" fillId="0" borderId="0" xfId="20" applyNumberFormat="1" applyFont="1" applyBorder="1"/>
    <xf numFmtId="166" fontId="8" fillId="0" borderId="0" xfId="20" applyNumberFormat="1" applyFont="1" applyBorder="1"/>
    <xf numFmtId="166" fontId="8" fillId="0" borderId="16" xfId="20" applyNumberFormat="1" applyFont="1" applyBorder="1"/>
    <xf numFmtId="166" fontId="8" fillId="0" borderId="56" xfId="20" applyNumberFormat="1" applyFont="1" applyBorder="1"/>
    <xf numFmtId="166" fontId="24" fillId="5" borderId="0" xfId="1" applyNumberFormat="1" applyFont="1" applyFill="1" applyAlignment="1">
      <alignment horizontal="center"/>
    </xf>
    <xf numFmtId="166" fontId="39" fillId="0" borderId="15" xfId="19" applyNumberFormat="1" applyFont="1" applyFill="1" applyBorder="1" applyAlignment="1" applyProtection="1">
      <alignment vertical="center" wrapText="1"/>
    </xf>
    <xf numFmtId="166" fontId="40" fillId="0" borderId="15" xfId="19" applyNumberFormat="1" applyFont="1" applyFill="1" applyBorder="1" applyAlignment="1" applyProtection="1">
      <alignment vertical="center" wrapText="1"/>
    </xf>
    <xf numFmtId="166" fontId="39" fillId="0" borderId="1" xfId="19" applyNumberFormat="1" applyFont="1" applyFill="1" applyBorder="1" applyAlignment="1" applyProtection="1">
      <alignment vertical="center" wrapText="1"/>
    </xf>
    <xf numFmtId="164" fontId="0" fillId="0" borderId="0" xfId="0" applyNumberFormat="1" applyFill="1" applyAlignment="1"/>
    <xf numFmtId="0" fontId="14" fillId="2" borderId="0" xfId="0" applyFont="1" applyFill="1"/>
    <xf numFmtId="0" fontId="19" fillId="2" borderId="0" xfId="0" applyFont="1" applyFill="1" applyAlignment="1">
      <alignment horizontal="right"/>
    </xf>
    <xf numFmtId="0" fontId="14" fillId="0" borderId="0" xfId="0" applyFont="1" applyBorder="1"/>
    <xf numFmtId="166" fontId="0" fillId="2" borderId="0" xfId="0" applyNumberFormat="1" applyFill="1"/>
    <xf numFmtId="49" fontId="14" fillId="0" borderId="8" xfId="0" applyNumberFormat="1" applyFont="1" applyBorder="1" applyAlignment="1">
      <alignment horizontal="center"/>
    </xf>
    <xf numFmtId="0" fontId="14" fillId="0" borderId="8" xfId="0" applyFont="1" applyBorder="1"/>
    <xf numFmtId="166" fontId="14" fillId="2" borderId="8" xfId="20" applyNumberFormat="1" applyFont="1" applyFill="1" applyBorder="1"/>
    <xf numFmtId="0" fontId="14" fillId="0" borderId="45" xfId="0" applyFont="1" applyBorder="1" applyAlignment="1">
      <alignment horizontal="center"/>
    </xf>
    <xf numFmtId="0" fontId="14" fillId="0" borderId="89" xfId="0" applyFont="1" applyBorder="1" applyAlignment="1">
      <alignment horizontal="center"/>
    </xf>
    <xf numFmtId="0" fontId="14" fillId="0" borderId="22" xfId="0" applyFont="1" applyBorder="1"/>
    <xf numFmtId="166" fontId="14" fillId="2" borderId="22" xfId="20" applyNumberFormat="1" applyFont="1" applyFill="1" applyBorder="1"/>
    <xf numFmtId="0" fontId="8" fillId="2" borderId="17" xfId="0" applyFont="1" applyFill="1" applyBorder="1" applyAlignment="1">
      <alignment horizontal="center"/>
    </xf>
    <xf numFmtId="0" fontId="14" fillId="0" borderId="52" xfId="0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/>
    <xf numFmtId="166" fontId="14" fillId="2" borderId="11" xfId="20" applyNumberFormat="1" applyFont="1" applyFill="1" applyBorder="1"/>
    <xf numFmtId="166" fontId="8" fillId="2" borderId="19" xfId="20" applyNumberFormat="1" applyFont="1" applyFill="1" applyBorder="1" applyAlignment="1">
      <alignment horizontal="center"/>
    </xf>
    <xf numFmtId="166" fontId="29" fillId="0" borderId="0" xfId="1" applyNumberFormat="1" applyFont="1"/>
    <xf numFmtId="175" fontId="0" fillId="0" borderId="0" xfId="1" applyNumberFormat="1" applyFont="1" applyFill="1" applyAlignment="1"/>
    <xf numFmtId="175" fontId="4" fillId="0" borderId="0" xfId="1" applyNumberFormat="1" applyFont="1" applyFill="1" applyAlignment="1"/>
    <xf numFmtId="175" fontId="0" fillId="0" borderId="0" xfId="1" applyNumberFormat="1" applyFont="1" applyFill="1"/>
    <xf numFmtId="166" fontId="4" fillId="0" borderId="0" xfId="1" applyNumberFormat="1" applyFont="1" applyFill="1" applyAlignment="1"/>
    <xf numFmtId="166" fontId="6" fillId="0" borderId="0" xfId="0" applyNumberFormat="1" applyFont="1" applyFill="1" applyAlignment="1"/>
    <xf numFmtId="166" fontId="6" fillId="0" borderId="0" xfId="0" applyNumberFormat="1" applyFont="1"/>
    <xf numFmtId="164" fontId="8" fillId="0" borderId="116" xfId="12" applyNumberFormat="1" applyFont="1" applyFill="1" applyBorder="1" applyAlignment="1">
      <alignment horizontal="center" vertical="center"/>
    </xf>
    <xf numFmtId="49" fontId="18" fillId="2" borderId="55" xfId="12" applyNumberFormat="1" applyFont="1" applyFill="1" applyBorder="1" applyAlignment="1">
      <alignment horizontal="center" vertical="center" wrapText="1"/>
    </xf>
    <xf numFmtId="164" fontId="18" fillId="2" borderId="19" xfId="12" applyNumberFormat="1" applyFont="1" applyFill="1" applyBorder="1" applyAlignment="1">
      <alignment horizontal="center" vertical="center" wrapText="1"/>
    </xf>
    <xf numFmtId="164" fontId="18" fillId="2" borderId="19" xfId="12" applyNumberFormat="1" applyFont="1" applyFill="1" applyBorder="1" applyAlignment="1" applyProtection="1">
      <alignment horizontal="center" vertical="center" wrapText="1"/>
    </xf>
    <xf numFmtId="3" fontId="18" fillId="2" borderId="19" xfId="12" applyNumberFormat="1" applyFont="1" applyFill="1" applyBorder="1" applyAlignment="1" applyProtection="1">
      <alignment horizontal="center" vertical="center" wrapText="1"/>
    </xf>
    <xf numFmtId="3" fontId="18" fillId="2" borderId="56" xfId="12" applyNumberFormat="1" applyFont="1" applyFill="1" applyBorder="1" applyAlignment="1" applyProtection="1">
      <alignment horizontal="center" vertical="center" wrapText="1"/>
    </xf>
    <xf numFmtId="49" fontId="18" fillId="2" borderId="98" xfId="12" applyNumberFormat="1" applyFont="1" applyFill="1" applyBorder="1" applyAlignment="1">
      <alignment horizontal="center" vertical="center" wrapText="1"/>
    </xf>
    <xf numFmtId="164" fontId="19" fillId="2" borderId="37" xfId="12" applyNumberFormat="1" applyFont="1" applyFill="1" applyBorder="1" applyAlignment="1" applyProtection="1">
      <alignment horizontal="left" vertical="center" wrapText="1"/>
      <protection locked="0"/>
    </xf>
    <xf numFmtId="165" fontId="19" fillId="2" borderId="37" xfId="12" applyNumberFormat="1" applyFont="1" applyFill="1" applyBorder="1" applyAlignment="1" applyProtection="1">
      <alignment horizontal="center" vertical="center" wrapText="1"/>
      <protection locked="0"/>
    </xf>
    <xf numFmtId="3" fontId="19" fillId="2" borderId="37" xfId="12" applyNumberFormat="1" applyFont="1" applyFill="1" applyBorder="1" applyAlignment="1" applyProtection="1">
      <alignment horizontal="center" vertical="center" wrapText="1"/>
      <protection locked="0"/>
    </xf>
    <xf numFmtId="164" fontId="19" fillId="2" borderId="37" xfId="12" applyNumberFormat="1" applyFont="1" applyFill="1" applyBorder="1" applyAlignment="1" applyProtection="1">
      <alignment horizontal="center" vertical="center" wrapText="1"/>
      <protection locked="0"/>
    </xf>
    <xf numFmtId="3" fontId="19" fillId="2" borderId="54" xfId="12" applyNumberFormat="1" applyFont="1" applyFill="1" applyBorder="1" applyAlignment="1">
      <alignment horizontal="center" vertical="center" wrapText="1"/>
    </xf>
    <xf numFmtId="164" fontId="18" fillId="2" borderId="19" xfId="12" applyNumberFormat="1" applyFont="1" applyFill="1" applyBorder="1" applyAlignment="1" applyProtection="1">
      <alignment horizontal="center" vertical="center" wrapText="1"/>
      <protection locked="0"/>
    </xf>
    <xf numFmtId="49" fontId="18" fillId="5" borderId="89" xfId="12" applyNumberFormat="1" applyFont="1" applyFill="1" applyBorder="1" applyAlignment="1">
      <alignment horizontal="center" vertical="center" wrapText="1"/>
    </xf>
    <xf numFmtId="164" fontId="19" fillId="5" borderId="22" xfId="12" applyNumberFormat="1" applyFont="1" applyFill="1" applyBorder="1" applyAlignment="1" applyProtection="1">
      <alignment horizontal="left" vertical="center" wrapText="1"/>
      <protection locked="0"/>
    </xf>
    <xf numFmtId="165" fontId="19" fillId="5" borderId="22" xfId="12" applyNumberFormat="1" applyFont="1" applyFill="1" applyBorder="1" applyAlignment="1" applyProtection="1">
      <alignment horizontal="center" vertical="center" wrapText="1"/>
      <protection locked="0"/>
    </xf>
    <xf numFmtId="164" fontId="19" fillId="5" borderId="22" xfId="12" applyNumberFormat="1" applyFont="1" applyFill="1" applyBorder="1" applyAlignment="1" applyProtection="1">
      <alignment horizontal="center" vertical="center" wrapText="1"/>
      <protection locked="0"/>
    </xf>
    <xf numFmtId="164" fontId="19" fillId="5" borderId="65" xfId="12" applyNumberFormat="1" applyFont="1" applyFill="1" applyBorder="1" applyAlignment="1">
      <alignment horizontal="center" vertical="center" wrapText="1"/>
    </xf>
    <xf numFmtId="0" fontId="14" fillId="5" borderId="0" xfId="12" applyFont="1" applyFill="1"/>
    <xf numFmtId="49" fontId="18" fillId="5" borderId="45" xfId="12" applyNumberFormat="1" applyFont="1" applyFill="1" applyBorder="1" applyAlignment="1">
      <alignment horizontal="center" vertical="center" wrapText="1"/>
    </xf>
    <xf numFmtId="164" fontId="19" fillId="5" borderId="8" xfId="12" applyNumberFormat="1" applyFont="1" applyFill="1" applyBorder="1" applyAlignment="1">
      <alignment horizontal="left" vertical="center" wrapText="1"/>
    </xf>
    <xf numFmtId="165" fontId="19" fillId="5" borderId="8" xfId="12" applyNumberFormat="1" applyFont="1" applyFill="1" applyBorder="1" applyAlignment="1" applyProtection="1">
      <alignment horizontal="center" vertical="center" wrapText="1"/>
      <protection locked="0"/>
    </xf>
    <xf numFmtId="164" fontId="19" fillId="5" borderId="8" xfId="12" applyNumberFormat="1" applyFont="1" applyFill="1" applyBorder="1" applyAlignment="1" applyProtection="1">
      <alignment horizontal="center" vertical="center" wrapText="1"/>
      <protection locked="0"/>
    </xf>
    <xf numFmtId="3" fontId="19" fillId="5" borderId="8" xfId="12" applyNumberFormat="1" applyFont="1" applyFill="1" applyBorder="1" applyAlignment="1" applyProtection="1">
      <alignment horizontal="center" vertical="center" wrapText="1"/>
      <protection locked="0"/>
    </xf>
    <xf numFmtId="49" fontId="18" fillId="5" borderId="52" xfId="12" applyNumberFormat="1" applyFont="1" applyFill="1" applyBorder="1" applyAlignment="1">
      <alignment horizontal="center" vertical="center" wrapText="1"/>
    </xf>
    <xf numFmtId="164" fontId="19" fillId="5" borderId="11" xfId="12" applyNumberFormat="1" applyFont="1" applyFill="1" applyBorder="1" applyAlignment="1">
      <alignment horizontal="left" vertical="center" wrapText="1"/>
    </xf>
    <xf numFmtId="165" fontId="19" fillId="5" borderId="11" xfId="12" applyNumberFormat="1" applyFont="1" applyFill="1" applyBorder="1" applyAlignment="1" applyProtection="1">
      <alignment horizontal="center" vertical="center" wrapText="1"/>
      <protection locked="0"/>
    </xf>
    <xf numFmtId="164" fontId="19" fillId="5" borderId="11" xfId="12" applyNumberFormat="1" applyFont="1" applyFill="1" applyBorder="1" applyAlignment="1" applyProtection="1">
      <alignment horizontal="center" vertical="center" wrapText="1"/>
      <protection locked="0"/>
    </xf>
    <xf numFmtId="3" fontId="19" fillId="5" borderId="11" xfId="12" applyNumberFormat="1" applyFont="1" applyFill="1" applyBorder="1" applyAlignment="1" applyProtection="1">
      <alignment horizontal="center" vertical="center" wrapText="1"/>
      <protection locked="0"/>
    </xf>
    <xf numFmtId="49" fontId="18" fillId="5" borderId="55" xfId="12" applyNumberFormat="1" applyFont="1" applyFill="1" applyBorder="1" applyAlignment="1">
      <alignment horizontal="center" vertical="center" wrapText="1"/>
    </xf>
    <xf numFmtId="164" fontId="18" fillId="5" borderId="19" xfId="12" applyNumberFormat="1" applyFont="1" applyFill="1" applyBorder="1" applyAlignment="1" applyProtection="1">
      <alignment horizontal="center" vertical="center" wrapText="1"/>
      <protection locked="0"/>
    </xf>
    <xf numFmtId="164" fontId="18" fillId="5" borderId="19" xfId="12" applyNumberFormat="1" applyFont="1" applyFill="1" applyBorder="1" applyAlignment="1" applyProtection="1">
      <alignment horizontal="center" vertical="center" wrapText="1"/>
    </xf>
    <xf numFmtId="164" fontId="19" fillId="5" borderId="19" xfId="12" applyNumberFormat="1" applyFont="1" applyFill="1" applyBorder="1" applyAlignment="1" applyProtection="1">
      <alignment horizontal="center" vertical="center" wrapText="1"/>
      <protection locked="0"/>
    </xf>
    <xf numFmtId="164" fontId="19" fillId="5" borderId="19" xfId="12" applyNumberFormat="1" applyFont="1" applyFill="1" applyBorder="1" applyAlignment="1" applyProtection="1">
      <alignment horizontal="center" vertical="center" wrapText="1"/>
    </xf>
    <xf numFmtId="164" fontId="19" fillId="5" borderId="56" xfId="12" applyNumberFormat="1" applyFont="1" applyFill="1" applyBorder="1" applyAlignment="1" applyProtection="1">
      <alignment horizontal="center" vertical="center" wrapText="1"/>
    </xf>
    <xf numFmtId="49" fontId="8" fillId="5" borderId="55" xfId="12" applyNumberFormat="1" applyFont="1" applyFill="1" applyBorder="1" applyAlignment="1">
      <alignment horizontal="center" vertical="center" wrapText="1"/>
    </xf>
    <xf numFmtId="49" fontId="18" fillId="5" borderId="42" xfId="12" applyNumberFormat="1" applyFont="1" applyFill="1" applyBorder="1" applyAlignment="1">
      <alignment horizontal="center" vertical="center" wrapText="1"/>
    </xf>
    <xf numFmtId="164" fontId="19" fillId="5" borderId="31" xfId="12" applyNumberFormat="1" applyFont="1" applyFill="1" applyBorder="1" applyAlignment="1">
      <alignment horizontal="left" vertical="center" wrapText="1"/>
    </xf>
    <xf numFmtId="164" fontId="19" fillId="5" borderId="31" xfId="12" applyNumberFormat="1" applyFont="1" applyFill="1" applyBorder="1" applyAlignment="1">
      <alignment horizontal="center" vertical="center" wrapText="1"/>
    </xf>
    <xf numFmtId="164" fontId="18" fillId="5" borderId="31" xfId="12" applyNumberFormat="1" applyFont="1" applyFill="1" applyBorder="1" applyAlignment="1">
      <alignment horizontal="center" vertical="center" wrapText="1"/>
    </xf>
    <xf numFmtId="164" fontId="19" fillId="5" borderId="32" xfId="12" applyNumberFormat="1" applyFont="1" applyFill="1" applyBorder="1" applyAlignment="1">
      <alignment horizontal="center" vertical="center" wrapText="1"/>
    </xf>
    <xf numFmtId="0" fontId="19" fillId="5" borderId="0" xfId="12" applyFont="1" applyFill="1"/>
    <xf numFmtId="164" fontId="19" fillId="5" borderId="8" xfId="12" applyNumberFormat="1" applyFont="1" applyFill="1" applyBorder="1" applyAlignment="1" applyProtection="1">
      <alignment horizontal="left" vertical="center" wrapText="1"/>
      <protection locked="0"/>
    </xf>
    <xf numFmtId="164" fontId="19" fillId="5" borderId="11" xfId="12" applyNumberFormat="1" applyFont="1" applyFill="1" applyBorder="1" applyAlignment="1" applyProtection="1">
      <alignment horizontal="left" vertical="center" wrapText="1"/>
      <protection locked="0"/>
    </xf>
    <xf numFmtId="164" fontId="14" fillId="2" borderId="8" xfId="12" applyNumberFormat="1" applyFont="1" applyFill="1" applyBorder="1" applyAlignment="1" applyProtection="1">
      <alignment horizontal="center" vertical="center" wrapText="1"/>
    </xf>
    <xf numFmtId="164" fontId="8" fillId="2" borderId="8" xfId="12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7" fillId="0" borderId="15" xfId="0" applyNumberFormat="1" applyFont="1" applyFill="1" applyBorder="1"/>
    <xf numFmtId="166" fontId="7" fillId="0" borderId="2" xfId="1" applyNumberFormat="1" applyFont="1" applyFill="1" applyBorder="1" applyAlignment="1"/>
    <xf numFmtId="0" fontId="0" fillId="0" borderId="2" xfId="0" applyFill="1" applyBorder="1"/>
    <xf numFmtId="3" fontId="7" fillId="0" borderId="2" xfId="0" applyNumberFormat="1" applyFont="1" applyFill="1" applyBorder="1"/>
    <xf numFmtId="3" fontId="7" fillId="0" borderId="29" xfId="0" applyNumberFormat="1" applyFont="1" applyFill="1" applyBorder="1"/>
    <xf numFmtId="3" fontId="67" fillId="0" borderId="35" xfId="0" applyNumberFormat="1" applyFont="1" applyFill="1" applyBorder="1"/>
    <xf numFmtId="3" fontId="7" fillId="0" borderId="44" xfId="0" applyNumberFormat="1" applyFont="1" applyBorder="1" applyAlignment="1">
      <alignment wrapText="1"/>
    </xf>
    <xf numFmtId="49" fontId="14" fillId="0" borderId="22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vertical="center"/>
    </xf>
    <xf numFmtId="166" fontId="14" fillId="2" borderId="22" xfId="1" applyNumberFormat="1" applyFont="1" applyFill="1" applyBorder="1" applyAlignment="1">
      <alignment horizontal="center"/>
    </xf>
    <xf numFmtId="49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/>
    </xf>
    <xf numFmtId="0" fontId="0" fillId="0" borderId="8" xfId="0" applyBorder="1"/>
    <xf numFmtId="49" fontId="14" fillId="2" borderId="22" xfId="0" applyNumberFormat="1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wrapText="1"/>
    </xf>
    <xf numFmtId="166" fontId="14" fillId="0" borderId="11" xfId="20" applyNumberFormat="1" applyFont="1" applyFill="1" applyBorder="1"/>
    <xf numFmtId="166" fontId="8" fillId="2" borderId="19" xfId="20" applyNumberFormat="1" applyFont="1" applyFill="1" applyBorder="1"/>
    <xf numFmtId="0" fontId="59" fillId="0" borderId="0" xfId="24" applyFont="1" applyAlignment="1">
      <alignment horizontal="right"/>
    </xf>
    <xf numFmtId="166" fontId="26" fillId="0" borderId="0" xfId="1" applyNumberFormat="1" applyFont="1" applyAlignment="1">
      <alignment horizontal="center"/>
    </xf>
    <xf numFmtId="3" fontId="24" fillId="2" borderId="34" xfId="0" applyNumberFormat="1" applyFont="1" applyFill="1" applyBorder="1" applyAlignment="1">
      <alignment horizontal="left" wrapText="1"/>
    </xf>
    <xf numFmtId="3" fontId="24" fillId="2" borderId="13" xfId="0" applyNumberFormat="1" applyFont="1" applyFill="1" applyBorder="1" applyAlignment="1">
      <alignment horizontal="left" wrapText="1"/>
    </xf>
    <xf numFmtId="3" fontId="24" fillId="2" borderId="64" xfId="0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right"/>
    </xf>
    <xf numFmtId="0" fontId="12" fillId="2" borderId="13" xfId="0" applyFont="1" applyFill="1" applyBorder="1" applyAlignment="1">
      <alignment horizontal="right"/>
    </xf>
    <xf numFmtId="0" fontId="18" fillId="2" borderId="15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center" vertical="center" wrapText="1"/>
    </xf>
    <xf numFmtId="0" fontId="43" fillId="0" borderId="70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66" xfId="0" applyFont="1" applyBorder="1" applyAlignment="1">
      <alignment horizontal="center" vertical="center" wrapText="1"/>
    </xf>
    <xf numFmtId="0" fontId="43" fillId="0" borderId="98" xfId="0" applyFont="1" applyBorder="1" applyAlignment="1">
      <alignment horizontal="center" vertical="center" wrapText="1"/>
    </xf>
    <xf numFmtId="0" fontId="43" fillId="0" borderId="90" xfId="0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0" fillId="0" borderId="0" xfId="2" applyNumberFormat="1" applyFont="1" applyAlignment="1">
      <alignment horizontal="right"/>
    </xf>
    <xf numFmtId="0" fontId="18" fillId="0" borderId="60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43" fillId="0" borderId="89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0" borderId="6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5" fillId="0" borderId="6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57" fillId="0" borderId="0" xfId="0" applyFont="1" applyAlignment="1">
      <alignment horizontal="right" wrapText="1"/>
    </xf>
    <xf numFmtId="0" fontId="9" fillId="0" borderId="41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43" fillId="0" borderId="60" xfId="0" applyNumberFormat="1" applyFont="1" applyFill="1" applyBorder="1" applyAlignment="1">
      <alignment horizontal="center" vertical="center" wrapText="1"/>
    </xf>
    <xf numFmtId="49" fontId="43" fillId="0" borderId="70" xfId="0" applyNumberFormat="1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 wrapText="1"/>
    </xf>
    <xf numFmtId="0" fontId="31" fillId="0" borderId="7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66" fontId="0" fillId="0" borderId="8" xfId="1" applyNumberFormat="1" applyFont="1" applyBorder="1" applyAlignment="1">
      <alignment horizontal="center"/>
    </xf>
    <xf numFmtId="166" fontId="0" fillId="0" borderId="16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53" xfId="1" applyNumberFormat="1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6" fontId="8" fillId="2" borderId="19" xfId="1" applyNumberFormat="1" applyFont="1" applyFill="1" applyBorder="1" applyAlignment="1">
      <alignment horizontal="center"/>
    </xf>
    <xf numFmtId="166" fontId="8" fillId="2" borderId="56" xfId="1" applyNumberFormat="1" applyFont="1" applyFill="1" applyBorder="1" applyAlignment="1">
      <alignment horizontal="center"/>
    </xf>
    <xf numFmtId="166" fontId="0" fillId="0" borderId="22" xfId="1" applyNumberFormat="1" applyFont="1" applyBorder="1" applyAlignment="1">
      <alignment horizontal="center"/>
    </xf>
    <xf numFmtId="166" fontId="0" fillId="0" borderId="65" xfId="1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4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66" fontId="6" fillId="0" borderId="19" xfId="1" applyNumberFormat="1" applyFont="1" applyBorder="1" applyAlignment="1">
      <alignment horizontal="center"/>
    </xf>
    <xf numFmtId="166" fontId="6" fillId="0" borderId="56" xfId="1" applyNumberFormat="1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6" fillId="0" borderId="41" xfId="11" applyFont="1" applyFill="1" applyBorder="1" applyAlignment="1" applyProtection="1">
      <alignment horizontal="left" vertical="center" wrapText="1"/>
    </xf>
    <xf numFmtId="0" fontId="96" fillId="0" borderId="59" xfId="11" applyFont="1" applyFill="1" applyBorder="1" applyAlignment="1" applyProtection="1">
      <alignment horizontal="left" vertical="center" wrapText="1"/>
    </xf>
    <xf numFmtId="0" fontId="98" fillId="0" borderId="41" xfId="0" applyFont="1" applyBorder="1" applyAlignment="1">
      <alignment horizontal="center"/>
    </xf>
    <xf numFmtId="0" fontId="98" fillId="0" borderId="59" xfId="0" applyFont="1" applyBorder="1" applyAlignment="1">
      <alignment horizontal="center"/>
    </xf>
    <xf numFmtId="164" fontId="96" fillId="0" borderId="0" xfId="11" applyNumberFormat="1" applyFont="1" applyFill="1" applyBorder="1" applyAlignment="1" applyProtection="1">
      <alignment horizontal="center" vertical="center"/>
    </xf>
    <xf numFmtId="0" fontId="96" fillId="0" borderId="42" xfId="11" applyFont="1" applyFill="1" applyBorder="1" applyAlignment="1" applyProtection="1">
      <alignment horizontal="center" vertical="center" wrapText="1"/>
    </xf>
    <xf numFmtId="0" fontId="96" fillId="0" borderId="48" xfId="11" applyFont="1" applyFill="1" applyBorder="1" applyAlignment="1" applyProtection="1">
      <alignment horizontal="center" vertical="center" wrapText="1"/>
    </xf>
    <xf numFmtId="0" fontId="96" fillId="0" borderId="31" xfId="11" applyFont="1" applyFill="1" applyBorder="1" applyAlignment="1" applyProtection="1">
      <alignment horizontal="center" vertical="center" wrapText="1"/>
    </xf>
    <xf numFmtId="0" fontId="96" fillId="0" borderId="17" xfId="11" applyFont="1" applyFill="1" applyBorder="1" applyAlignment="1" applyProtection="1">
      <alignment horizontal="center" vertical="center" wrapText="1"/>
    </xf>
    <xf numFmtId="166" fontId="96" fillId="5" borderId="31" xfId="1" applyNumberFormat="1" applyFont="1" applyFill="1" applyBorder="1" applyAlignment="1" applyProtection="1">
      <alignment horizontal="center" vertical="center" wrapText="1"/>
    </xf>
    <xf numFmtId="166" fontId="96" fillId="5" borderId="17" xfId="1" applyNumberFormat="1" applyFont="1" applyFill="1" applyBorder="1" applyAlignment="1" applyProtection="1">
      <alignment horizontal="center" vertical="center" wrapText="1"/>
    </xf>
    <xf numFmtId="164" fontId="96" fillId="0" borderId="31" xfId="11" applyNumberFormat="1" applyFont="1" applyFill="1" applyBorder="1" applyAlignment="1" applyProtection="1">
      <alignment horizontal="center" vertical="center"/>
    </xf>
    <xf numFmtId="0" fontId="96" fillId="0" borderId="32" xfId="11" applyFont="1" applyFill="1" applyBorder="1" applyAlignment="1" applyProtection="1">
      <alignment horizontal="center" vertical="center" wrapText="1"/>
    </xf>
    <xf numFmtId="0" fontId="96" fillId="0" borderId="30" xfId="1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164" fontId="94" fillId="0" borderId="0" xfId="11" applyNumberFormat="1" applyFont="1" applyFill="1" applyBorder="1" applyAlignment="1" applyProtection="1">
      <alignment horizontal="center" vertical="center"/>
    </xf>
    <xf numFmtId="164" fontId="24" fillId="0" borderId="31" xfId="11" applyNumberFormat="1" applyFont="1" applyFill="1" applyBorder="1" applyAlignment="1" applyProtection="1">
      <alignment horizontal="center" vertical="center"/>
    </xf>
    <xf numFmtId="0" fontId="50" fillId="0" borderId="0" xfId="0" applyFont="1" applyAlignment="1">
      <alignment horizontal="center"/>
    </xf>
    <xf numFmtId="0" fontId="7" fillId="2" borderId="13" xfId="0" applyFont="1" applyFill="1" applyBorder="1" applyAlignment="1">
      <alignment horizontal="right"/>
    </xf>
    <xf numFmtId="0" fontId="8" fillId="5" borderId="0" xfId="16" applyFont="1" applyFill="1" applyBorder="1" applyAlignment="1">
      <alignment horizontal="center"/>
    </xf>
    <xf numFmtId="0" fontId="50" fillId="0" borderId="0" xfId="16" applyFont="1" applyBorder="1" applyAlignment="1">
      <alignment horizontal="center"/>
    </xf>
    <xf numFmtId="0" fontId="50" fillId="0" borderId="0" xfId="16" applyFont="1" applyFill="1" applyBorder="1" applyAlignment="1">
      <alignment horizontal="center"/>
    </xf>
    <xf numFmtId="168" fontId="14" fillId="0" borderId="99" xfId="4" applyNumberFormat="1" applyFont="1" applyFill="1" applyBorder="1" applyAlignment="1" applyProtection="1">
      <alignment horizontal="right"/>
    </xf>
    <xf numFmtId="0" fontId="49" fillId="0" borderId="99" xfId="16" applyFont="1" applyBorder="1" applyAlignment="1">
      <alignment horizontal="right"/>
    </xf>
    <xf numFmtId="0" fontId="14" fillId="0" borderId="0" xfId="16" applyAlignment="1">
      <alignment horizontal="center"/>
    </xf>
    <xf numFmtId="0" fontId="16" fillId="0" borderId="0" xfId="16" applyFont="1" applyAlignment="1">
      <alignment horizontal="center"/>
    </xf>
    <xf numFmtId="0" fontId="106" fillId="5" borderId="0" xfId="16" applyFont="1" applyFill="1" applyAlignment="1">
      <alignment horizontal="center"/>
    </xf>
    <xf numFmtId="0" fontId="106" fillId="0" borderId="0" xfId="16" applyFont="1" applyAlignment="1">
      <alignment horizontal="center"/>
    </xf>
    <xf numFmtId="0" fontId="9" fillId="0" borderId="0" xfId="16" applyFont="1" applyFill="1" applyAlignment="1">
      <alignment horizontal="center"/>
    </xf>
    <xf numFmtId="0" fontId="55" fillId="0" borderId="0" xfId="16" applyFont="1" applyAlignment="1">
      <alignment horizontal="center" vertical="center" wrapText="1"/>
    </xf>
    <xf numFmtId="0" fontId="99" fillId="0" borderId="0" xfId="0" applyFont="1" applyAlignment="1">
      <alignment horizontal="center" vertical="center" wrapText="1"/>
    </xf>
    <xf numFmtId="0" fontId="9" fillId="0" borderId="0" xfId="16" applyFont="1" applyAlignment="1">
      <alignment horizontal="center" wrapText="1"/>
    </xf>
    <xf numFmtId="49" fontId="8" fillId="2" borderId="8" xfId="12" applyNumberFormat="1" applyFont="1" applyFill="1" applyBorder="1" applyAlignment="1">
      <alignment horizontal="center" vertical="center" wrapText="1"/>
    </xf>
    <xf numFmtId="164" fontId="8" fillId="0" borderId="101" xfId="12" applyNumberFormat="1" applyFont="1" applyFill="1" applyBorder="1" applyAlignment="1">
      <alignment horizontal="center" vertical="center" wrapText="1"/>
    </xf>
    <xf numFmtId="164" fontId="8" fillId="0" borderId="114" xfId="12" applyNumberFormat="1" applyFont="1" applyFill="1" applyBorder="1" applyAlignment="1">
      <alignment horizontal="center" vertical="center" wrapText="1"/>
    </xf>
    <xf numFmtId="49" fontId="22" fillId="0" borderId="0" xfId="12" applyNumberFormat="1" applyFont="1" applyFill="1" applyBorder="1" applyAlignment="1">
      <alignment horizontal="center"/>
    </xf>
    <xf numFmtId="49" fontId="8" fillId="0" borderId="100" xfId="12" applyNumberFormat="1" applyFont="1" applyFill="1" applyBorder="1" applyAlignment="1">
      <alignment horizontal="center" vertical="center" wrapText="1"/>
    </xf>
    <xf numFmtId="49" fontId="8" fillId="0" borderId="113" xfId="12" applyNumberFormat="1" applyFont="1" applyFill="1" applyBorder="1" applyAlignment="1">
      <alignment horizontal="center" vertical="center" wrapText="1"/>
    </xf>
    <xf numFmtId="164" fontId="8" fillId="0" borderId="101" xfId="12" applyNumberFormat="1" applyFont="1" applyFill="1" applyBorder="1" applyAlignment="1">
      <alignment horizontal="center" vertical="center"/>
    </xf>
    <xf numFmtId="164" fontId="8" fillId="0" borderId="114" xfId="12" applyNumberFormat="1" applyFont="1" applyFill="1" applyBorder="1" applyAlignment="1">
      <alignment horizontal="center" vertical="center"/>
    </xf>
    <xf numFmtId="164" fontId="8" fillId="0" borderId="112" xfId="12" applyNumberFormat="1" applyFont="1" applyFill="1" applyBorder="1" applyAlignment="1">
      <alignment horizontal="center" vertical="center"/>
    </xf>
    <xf numFmtId="164" fontId="8" fillId="0" borderId="102" xfId="12" applyNumberFormat="1" applyFont="1" applyFill="1" applyBorder="1" applyAlignment="1">
      <alignment horizontal="center" vertical="center"/>
    </xf>
    <xf numFmtId="164" fontId="8" fillId="0" borderId="115" xfId="12" applyNumberFormat="1" applyFont="1" applyFill="1" applyBorder="1" applyAlignment="1">
      <alignment horizontal="center" vertical="center"/>
    </xf>
    <xf numFmtId="0" fontId="50" fillId="0" borderId="0" xfId="14" applyFont="1" applyFill="1" applyAlignment="1">
      <alignment horizontal="center" vertical="center" wrapText="1"/>
    </xf>
    <xf numFmtId="0" fontId="61" fillId="0" borderId="0" xfId="16" applyFont="1" applyAlignment="1">
      <alignment horizontal="center"/>
    </xf>
    <xf numFmtId="0" fontId="61" fillId="5" borderId="0" xfId="16" applyFont="1" applyFill="1" applyAlignment="1">
      <alignment horizontal="center"/>
    </xf>
    <xf numFmtId="0" fontId="93" fillId="0" borderId="41" xfId="16" applyFont="1" applyBorder="1" applyAlignment="1">
      <alignment horizontal="center"/>
    </xf>
    <xf numFmtId="0" fontId="93" fillId="0" borderId="14" xfId="16" applyFont="1" applyBorder="1" applyAlignment="1">
      <alignment horizontal="center"/>
    </xf>
    <xf numFmtId="0" fontId="61" fillId="0" borderId="4" xfId="15" applyFont="1" applyBorder="1" applyAlignment="1">
      <alignment horizontal="left"/>
    </xf>
    <xf numFmtId="0" fontId="63" fillId="0" borderId="55" xfId="15" applyFont="1" applyBorder="1" applyAlignment="1">
      <alignment horizontal="left"/>
    </xf>
    <xf numFmtId="0" fontId="63" fillId="0" borderId="19" xfId="15" applyFont="1" applyBorder="1" applyAlignment="1">
      <alignment horizontal="left"/>
    </xf>
    <xf numFmtId="0" fontId="64" fillId="0" borderId="90" xfId="15" applyFont="1" applyBorder="1" applyAlignment="1">
      <alignment horizontal="left"/>
    </xf>
    <xf numFmtId="0" fontId="64" fillId="0" borderId="88" xfId="15" applyFont="1" applyBorder="1" applyAlignment="1">
      <alignment horizontal="left"/>
    </xf>
    <xf numFmtId="0" fontId="60" fillId="0" borderId="0" xfId="15" applyFont="1" applyAlignment="1">
      <alignment horizontal="center"/>
    </xf>
    <xf numFmtId="0" fontId="61" fillId="0" borderId="0" xfId="15" applyFont="1" applyAlignment="1">
      <alignment horizontal="center"/>
    </xf>
    <xf numFmtId="0" fontId="60" fillId="0" borderId="0" xfId="15" applyFont="1" applyFill="1" applyAlignment="1">
      <alignment horizontal="center" wrapText="1"/>
    </xf>
    <xf numFmtId="0" fontId="60" fillId="0" borderId="0" xfId="15" applyFont="1" applyAlignment="1">
      <alignment horizontal="center" wrapText="1"/>
    </xf>
    <xf numFmtId="0" fontId="62" fillId="0" borderId="13" xfId="15" applyFont="1" applyBorder="1" applyAlignment="1">
      <alignment horizontal="center"/>
    </xf>
    <xf numFmtId="0" fontId="60" fillId="0" borderId="66" xfId="15" applyFont="1" applyBorder="1" applyAlignment="1">
      <alignment horizontal="center" vertical="center" wrapText="1"/>
    </xf>
    <xf numFmtId="0" fontId="60" fillId="0" borderId="89" xfId="15" applyFont="1" applyBorder="1" applyAlignment="1">
      <alignment horizontal="center" vertical="center" wrapText="1"/>
    </xf>
    <xf numFmtId="0" fontId="60" fillId="0" borderId="31" xfId="15" applyFont="1" applyBorder="1" applyAlignment="1">
      <alignment horizontal="center" vertical="center" wrapText="1"/>
    </xf>
    <xf numFmtId="0" fontId="60" fillId="0" borderId="8" xfId="15" applyFont="1" applyBorder="1" applyAlignment="1">
      <alignment horizontal="center" vertical="center" wrapText="1"/>
    </xf>
    <xf numFmtId="0" fontId="60" fillId="0" borderId="31" xfId="15" applyFont="1" applyBorder="1" applyAlignment="1">
      <alignment horizontal="center" vertical="center"/>
    </xf>
    <xf numFmtId="0" fontId="60" fillId="0" borderId="8" xfId="15" applyFont="1" applyBorder="1" applyAlignment="1">
      <alignment horizontal="center" vertical="center"/>
    </xf>
    <xf numFmtId="0" fontId="60" fillId="0" borderId="32" xfId="15" applyFont="1" applyBorder="1" applyAlignment="1">
      <alignment horizontal="center" vertical="center"/>
    </xf>
    <xf numFmtId="0" fontId="61" fillId="0" borderId="0" xfId="15" applyFont="1" applyAlignment="1">
      <alignment horizontal="left"/>
    </xf>
    <xf numFmtId="0" fontId="63" fillId="0" borderId="41" xfId="15" applyFont="1" applyBorder="1" applyAlignment="1">
      <alignment horizontal="left"/>
    </xf>
    <xf numFmtId="0" fontId="63" fillId="0" borderId="27" xfId="15" applyFont="1" applyBorder="1" applyAlignment="1">
      <alignment horizontal="left"/>
    </xf>
    <xf numFmtId="0" fontId="60" fillId="0" borderId="0" xfId="15" applyFont="1" applyAlignment="1">
      <alignment horizontal="center" vertical="center" wrapText="1"/>
    </xf>
    <xf numFmtId="0" fontId="60" fillId="0" borderId="31" xfId="16" applyFont="1" applyBorder="1" applyAlignment="1">
      <alignment horizontal="center" vertical="center"/>
    </xf>
    <xf numFmtId="0" fontId="60" fillId="0" borderId="32" xfId="16" applyFont="1" applyBorder="1" applyAlignment="1">
      <alignment horizontal="center" vertical="center"/>
    </xf>
    <xf numFmtId="0" fontId="61" fillId="0" borderId="0" xfId="16" applyFont="1" applyAlignment="1">
      <alignment horizontal="left"/>
    </xf>
    <xf numFmtId="0" fontId="63" fillId="0" borderId="41" xfId="16" applyFont="1" applyBorder="1" applyAlignment="1">
      <alignment horizontal="left"/>
    </xf>
    <xf numFmtId="0" fontId="63" fillId="0" borderId="27" xfId="16" applyFont="1" applyBorder="1" applyAlignment="1">
      <alignment horizontal="left"/>
    </xf>
    <xf numFmtId="0" fontId="60" fillId="0" borderId="0" xfId="16" applyFont="1" applyAlignment="1">
      <alignment horizontal="center"/>
    </xf>
    <xf numFmtId="0" fontId="60" fillId="0" borderId="0" xfId="16" applyFont="1" applyAlignment="1">
      <alignment horizontal="center" wrapText="1"/>
    </xf>
    <xf numFmtId="0" fontId="65" fillId="0" borderId="0" xfId="16" applyFont="1" applyAlignment="1">
      <alignment horizontal="center"/>
    </xf>
    <xf numFmtId="0" fontId="62" fillId="0" borderId="13" xfId="16" applyFont="1" applyBorder="1" applyAlignment="1">
      <alignment horizontal="center"/>
    </xf>
    <xf numFmtId="0" fontId="60" fillId="0" borderId="8" xfId="16" applyFont="1" applyBorder="1" applyAlignment="1">
      <alignment horizontal="center" vertical="center"/>
    </xf>
    <xf numFmtId="0" fontId="61" fillId="0" borderId="4" xfId="16" applyFont="1" applyBorder="1" applyAlignment="1">
      <alignment horizontal="left"/>
    </xf>
    <xf numFmtId="0" fontId="63" fillId="0" borderId="55" xfId="16" applyFont="1" applyBorder="1" applyAlignment="1">
      <alignment horizontal="left"/>
    </xf>
    <xf numFmtId="0" fontId="63" fillId="0" borderId="19" xfId="16" applyFont="1" applyBorder="1" applyAlignment="1">
      <alignment horizontal="left"/>
    </xf>
    <xf numFmtId="0" fontId="64" fillId="0" borderId="90" xfId="16" applyFont="1" applyBorder="1" applyAlignment="1">
      <alignment horizontal="left"/>
    </xf>
    <xf numFmtId="0" fontId="64" fillId="0" borderId="88" xfId="16" applyFont="1" applyBorder="1" applyAlignment="1">
      <alignment horizontal="left"/>
    </xf>
    <xf numFmtId="0" fontId="60" fillId="0" borderId="66" xfId="16" applyFont="1" applyBorder="1" applyAlignment="1">
      <alignment horizontal="center" vertical="center" wrapText="1"/>
    </xf>
    <xf numFmtId="0" fontId="60" fillId="0" borderId="89" xfId="16" applyFont="1" applyBorder="1" applyAlignment="1">
      <alignment horizontal="center" vertical="center" wrapText="1"/>
    </xf>
    <xf numFmtId="0" fontId="60" fillId="0" borderId="31" xfId="16" applyFont="1" applyBorder="1" applyAlignment="1">
      <alignment horizontal="center" vertical="center" wrapText="1"/>
    </xf>
    <xf numFmtId="0" fontId="60" fillId="0" borderId="8" xfId="16" applyFont="1" applyBorder="1" applyAlignment="1">
      <alignment horizontal="center" vertical="center" wrapText="1"/>
    </xf>
    <xf numFmtId="0" fontId="61" fillId="5" borderId="0" xfId="24" applyFont="1" applyFill="1" applyAlignment="1">
      <alignment horizontal="center"/>
    </xf>
    <xf numFmtId="0" fontId="60" fillId="0" borderId="0" xfId="24" applyFont="1" applyAlignment="1">
      <alignment horizontal="center" vertical="center" wrapText="1"/>
    </xf>
    <xf numFmtId="0" fontId="60" fillId="0" borderId="0" xfId="24" applyFont="1" applyAlignment="1">
      <alignment horizontal="center"/>
    </xf>
    <xf numFmtId="0" fontId="0" fillId="0" borderId="103" xfId="9" applyFont="1" applyBorder="1" applyAlignment="1">
      <alignment horizontal="center"/>
    </xf>
    <xf numFmtId="168" fontId="0" fillId="0" borderId="103" xfId="4" applyNumberFormat="1" applyFont="1" applyFill="1" applyBorder="1" applyAlignment="1" applyProtection="1">
      <alignment horizontal="center"/>
    </xf>
    <xf numFmtId="0" fontId="0" fillId="0" borderId="104" xfId="9" applyFont="1" applyBorder="1" applyAlignment="1">
      <alignment horizontal="left"/>
    </xf>
    <xf numFmtId="0" fontId="0" fillId="0" borderId="105" xfId="9" applyFont="1" applyBorder="1" applyAlignment="1">
      <alignment horizontal="left"/>
    </xf>
    <xf numFmtId="0" fontId="0" fillId="0" borderId="106" xfId="9" applyFont="1" applyBorder="1" applyAlignment="1">
      <alignment horizontal="left"/>
    </xf>
    <xf numFmtId="168" fontId="0" fillId="0" borderId="107" xfId="4" applyNumberFormat="1" applyFont="1" applyFill="1" applyBorder="1" applyAlignment="1" applyProtection="1">
      <alignment horizontal="center"/>
    </xf>
    <xf numFmtId="168" fontId="12" fillId="0" borderId="103" xfId="4" applyNumberFormat="1" applyFont="1" applyFill="1" applyBorder="1" applyAlignment="1" applyProtection="1">
      <alignment horizontal="center"/>
    </xf>
    <xf numFmtId="0" fontId="5" fillId="0" borderId="103" xfId="9" applyFont="1" applyBorder="1" applyAlignment="1">
      <alignment horizontal="left"/>
    </xf>
    <xf numFmtId="168" fontId="5" fillId="0" borderId="103" xfId="4" applyNumberFormat="1" applyFont="1" applyFill="1" applyBorder="1" applyAlignment="1" applyProtection="1">
      <alignment horizontal="center"/>
    </xf>
    <xf numFmtId="0" fontId="0" fillId="0" borderId="108" xfId="9" applyFont="1" applyBorder="1" applyAlignment="1">
      <alignment horizontal="center" wrapText="1"/>
    </xf>
    <xf numFmtId="0" fontId="0" fillId="0" borderId="109" xfId="9" applyFont="1" applyBorder="1" applyAlignment="1">
      <alignment horizontal="center" wrapText="1"/>
    </xf>
    <xf numFmtId="0" fontId="0" fillId="0" borderId="110" xfId="9" applyFont="1" applyBorder="1" applyAlignment="1">
      <alignment horizontal="center" wrapText="1"/>
    </xf>
    <xf numFmtId="0" fontId="0" fillId="0" borderId="108" xfId="9" applyFont="1" applyBorder="1" applyAlignment="1">
      <alignment horizontal="center"/>
    </xf>
    <xf numFmtId="0" fontId="0" fillId="0" borderId="109" xfId="9" applyFont="1" applyBorder="1" applyAlignment="1">
      <alignment horizontal="center"/>
    </xf>
    <xf numFmtId="0" fontId="0" fillId="0" borderId="110" xfId="9" applyFont="1" applyBorder="1" applyAlignment="1">
      <alignment horizontal="center"/>
    </xf>
    <xf numFmtId="168" fontId="0" fillId="0" borderId="108" xfId="4" applyNumberFormat="1" applyFont="1" applyFill="1" applyBorder="1" applyAlignment="1" applyProtection="1">
      <alignment horizontal="center"/>
    </xf>
    <xf numFmtId="168" fontId="0" fillId="0" borderId="110" xfId="4" applyNumberFormat="1" applyFont="1" applyFill="1" applyBorder="1" applyAlignment="1" applyProtection="1">
      <alignment horizontal="center"/>
    </xf>
    <xf numFmtId="0" fontId="6" fillId="0" borderId="108" xfId="9" applyFont="1" applyBorder="1" applyAlignment="1">
      <alignment horizontal="left"/>
    </xf>
    <xf numFmtId="0" fontId="6" fillId="0" borderId="109" xfId="9" applyFont="1" applyBorder="1" applyAlignment="1">
      <alignment horizontal="left"/>
    </xf>
    <xf numFmtId="0" fontId="6" fillId="0" borderId="110" xfId="9" applyFont="1" applyBorder="1" applyAlignment="1">
      <alignment horizontal="left"/>
    </xf>
    <xf numFmtId="168" fontId="6" fillId="0" borderId="108" xfId="4" applyNumberFormat="1" applyFont="1" applyFill="1" applyBorder="1" applyAlignment="1" applyProtection="1">
      <alignment horizontal="center"/>
    </xf>
    <xf numFmtId="168" fontId="6" fillId="0" borderId="110" xfId="4" applyNumberFormat="1" applyFont="1" applyFill="1" applyBorder="1" applyAlignment="1" applyProtection="1">
      <alignment horizontal="center"/>
    </xf>
    <xf numFmtId="0" fontId="5" fillId="0" borderId="111" xfId="9" applyFont="1" applyBorder="1" applyAlignment="1">
      <alignment horizontal="left"/>
    </xf>
    <xf numFmtId="168" fontId="5" fillId="0" borderId="111" xfId="4" applyNumberFormat="1" applyFont="1" applyFill="1" applyBorder="1" applyAlignment="1" applyProtection="1">
      <alignment horizontal="center"/>
    </xf>
    <xf numFmtId="0" fontId="69" fillId="5" borderId="0" xfId="9" applyFont="1" applyFill="1" applyBorder="1" applyAlignment="1">
      <alignment horizontal="center"/>
    </xf>
    <xf numFmtId="0" fontId="70" fillId="0" borderId="0" xfId="9" applyFont="1" applyBorder="1" applyAlignment="1">
      <alignment horizontal="center"/>
    </xf>
    <xf numFmtId="0" fontId="0" fillId="0" borderId="0" xfId="9" applyFont="1" applyBorder="1" applyAlignment="1">
      <alignment horizontal="center"/>
    </xf>
    <xf numFmtId="0" fontId="5" fillId="0" borderId="73" xfId="9" applyFont="1" applyBorder="1" applyAlignment="1">
      <alignment horizontal="center" wrapText="1"/>
    </xf>
    <xf numFmtId="0" fontId="5" fillId="0" borderId="75" xfId="9" applyFont="1" applyBorder="1" applyAlignment="1">
      <alignment horizontal="center"/>
    </xf>
    <xf numFmtId="0" fontId="0" fillId="0" borderId="107" xfId="9" applyFont="1" applyBorder="1" applyAlignment="1">
      <alignment horizontal="right"/>
    </xf>
    <xf numFmtId="168" fontId="0" fillId="4" borderId="103" xfId="4" applyNumberFormat="1" applyFont="1" applyFill="1" applyBorder="1" applyAlignment="1" applyProtection="1">
      <alignment horizontal="center"/>
    </xf>
    <xf numFmtId="0" fontId="6" fillId="0" borderId="108" xfId="9" applyFont="1" applyBorder="1" applyAlignment="1">
      <alignment horizontal="center"/>
    </xf>
    <xf numFmtId="0" fontId="6" fillId="0" borderId="109" xfId="9" applyFont="1" applyBorder="1" applyAlignment="1">
      <alignment horizontal="center"/>
    </xf>
    <xf numFmtId="0" fontId="6" fillId="0" borderId="110" xfId="9" applyFont="1" applyBorder="1" applyAlignment="1">
      <alignment horizontal="center"/>
    </xf>
    <xf numFmtId="0" fontId="70" fillId="0" borderId="0" xfId="9" applyFont="1" applyFill="1" applyBorder="1" applyAlignment="1">
      <alignment horizontal="center"/>
    </xf>
    <xf numFmtId="0" fontId="0" fillId="0" borderId="104" xfId="9" applyFont="1" applyBorder="1" applyAlignment="1">
      <alignment horizontal="right"/>
    </xf>
    <xf numFmtId="0" fontId="0" fillId="0" borderId="105" xfId="9" applyFont="1" applyBorder="1" applyAlignment="1">
      <alignment horizontal="right"/>
    </xf>
    <xf numFmtId="0" fontId="0" fillId="0" borderId="106" xfId="9" applyFont="1" applyBorder="1" applyAlignment="1">
      <alignment horizontal="right"/>
    </xf>
    <xf numFmtId="0" fontId="5" fillId="0" borderId="108" xfId="9" applyFont="1" applyBorder="1" applyAlignment="1">
      <alignment horizontal="left"/>
    </xf>
    <xf numFmtId="0" fontId="5" fillId="0" borderId="109" xfId="9" applyFont="1" applyBorder="1" applyAlignment="1">
      <alignment horizontal="left"/>
    </xf>
    <xf numFmtId="0" fontId="5" fillId="0" borderId="110" xfId="9" applyFont="1" applyBorder="1" applyAlignment="1">
      <alignment horizontal="left"/>
    </xf>
    <xf numFmtId="168" fontId="5" fillId="0" borderId="108" xfId="4" applyNumberFormat="1" applyFont="1" applyFill="1" applyBorder="1" applyAlignment="1" applyProtection="1">
      <alignment horizontal="center"/>
    </xf>
    <xf numFmtId="168" fontId="5" fillId="0" borderId="110" xfId="4" applyNumberFormat="1" applyFont="1" applyFill="1" applyBorder="1" applyAlignment="1" applyProtection="1">
      <alignment horizontal="center"/>
    </xf>
    <xf numFmtId="168" fontId="12" fillId="0" borderId="108" xfId="4" applyNumberFormat="1" applyFont="1" applyFill="1" applyBorder="1" applyAlignment="1" applyProtection="1">
      <alignment horizontal="center"/>
    </xf>
    <xf numFmtId="168" fontId="12" fillId="0" borderId="110" xfId="4" applyNumberFormat="1" applyFont="1" applyFill="1" applyBorder="1" applyAlignment="1" applyProtection="1">
      <alignment horizontal="center"/>
    </xf>
    <xf numFmtId="0" fontId="0" fillId="0" borderId="108" xfId="9" applyFont="1" applyBorder="1" applyAlignment="1">
      <alignment horizontal="left" wrapText="1"/>
    </xf>
    <xf numFmtId="0" fontId="0" fillId="0" borderId="109" xfId="9" applyFont="1" applyBorder="1" applyAlignment="1">
      <alignment horizontal="left" wrapText="1"/>
    </xf>
    <xf numFmtId="0" fontId="0" fillId="0" borderId="110" xfId="9" applyFont="1" applyBorder="1" applyAlignment="1">
      <alignment horizontal="left" wrapText="1"/>
    </xf>
    <xf numFmtId="0" fontId="87" fillId="0" borderId="0" xfId="0" applyFont="1" applyAlignment="1" applyProtection="1">
      <alignment horizontal="center" vertical="center" wrapText="1"/>
      <protection locked="0"/>
    </xf>
    <xf numFmtId="0" fontId="88" fillId="0" borderId="55" xfId="0" applyFont="1" applyBorder="1" applyAlignment="1" applyProtection="1">
      <alignment wrapText="1"/>
    </xf>
    <xf numFmtId="0" fontId="88" fillId="0" borderId="19" xfId="0" applyFont="1" applyBorder="1" applyAlignment="1" applyProtection="1">
      <alignment wrapText="1"/>
    </xf>
    <xf numFmtId="166" fontId="100" fillId="0" borderId="11" xfId="28" applyNumberFormat="1" applyFont="1" applyBorder="1" applyAlignment="1">
      <alignment horizontal="center" vertical="center"/>
    </xf>
    <xf numFmtId="166" fontId="100" fillId="0" borderId="22" xfId="28" applyNumberFormat="1" applyFont="1" applyBorder="1" applyAlignment="1">
      <alignment horizontal="center" vertical="center"/>
    </xf>
    <xf numFmtId="166" fontId="100" fillId="0" borderId="11" xfId="28" applyNumberFormat="1" applyFont="1" applyBorder="1" applyAlignment="1">
      <alignment horizontal="center" vertical="center" wrapText="1"/>
    </xf>
    <xf numFmtId="166" fontId="100" fillId="0" borderId="22" xfId="28" applyNumberFormat="1" applyFont="1" applyBorder="1" applyAlignment="1">
      <alignment horizontal="center" vertical="center" wrapText="1"/>
    </xf>
    <xf numFmtId="0" fontId="1" fillId="0" borderId="11" xfId="27" applyBorder="1" applyAlignment="1">
      <alignment horizontal="center" vertical="center"/>
    </xf>
    <xf numFmtId="0" fontId="1" fillId="0" borderId="22" xfId="27" applyBorder="1" applyAlignment="1">
      <alignment horizontal="center" vertical="center"/>
    </xf>
    <xf numFmtId="49" fontId="1" fillId="0" borderId="11" xfId="27" applyNumberFormat="1" applyFont="1" applyBorder="1" applyAlignment="1">
      <alignment horizontal="center" vertical="center"/>
    </xf>
    <xf numFmtId="49" fontId="1" fillId="0" borderId="22" xfId="27" applyNumberFormat="1" applyBorder="1" applyAlignment="1">
      <alignment horizontal="center" vertical="center"/>
    </xf>
    <xf numFmtId="0" fontId="104" fillId="0" borderId="11" xfId="27" applyFont="1" applyBorder="1" applyAlignment="1">
      <alignment horizontal="center" vertical="center" wrapText="1"/>
    </xf>
    <xf numFmtId="0" fontId="104" fillId="0" borderId="22" xfId="27" applyFont="1" applyBorder="1" applyAlignment="1">
      <alignment horizontal="center" vertical="center" wrapText="1"/>
    </xf>
    <xf numFmtId="166" fontId="0" fillId="0" borderId="11" xfId="28" applyNumberFormat="1" applyFont="1" applyBorder="1" applyAlignment="1">
      <alignment horizontal="center" vertical="center"/>
    </xf>
    <xf numFmtId="166" fontId="0" fillId="0" borderId="22" xfId="28" applyNumberFormat="1" applyFont="1" applyBorder="1" applyAlignment="1">
      <alignment horizontal="center" vertical="center"/>
    </xf>
    <xf numFmtId="0" fontId="1" fillId="0" borderId="11" xfId="27" applyFont="1" applyBorder="1" applyAlignment="1">
      <alignment horizontal="center" vertical="center"/>
    </xf>
    <xf numFmtId="166" fontId="100" fillId="0" borderId="37" xfId="28" applyNumberFormat="1" applyFont="1" applyBorder="1" applyAlignment="1">
      <alignment horizontal="center" vertical="center"/>
    </xf>
    <xf numFmtId="166" fontId="100" fillId="0" borderId="37" xfId="28" applyNumberFormat="1" applyFont="1" applyBorder="1" applyAlignment="1">
      <alignment horizontal="center" vertical="center" wrapText="1"/>
    </xf>
    <xf numFmtId="14" fontId="1" fillId="0" borderId="11" xfId="27" applyNumberFormat="1" applyBorder="1" applyAlignment="1">
      <alignment horizontal="center" vertical="center"/>
    </xf>
    <xf numFmtId="14" fontId="1" fillId="0" borderId="22" xfId="27" applyNumberFormat="1" applyBorder="1" applyAlignment="1">
      <alignment horizontal="center" vertical="center"/>
    </xf>
    <xf numFmtId="0" fontId="1" fillId="0" borderId="37" xfId="27" applyBorder="1" applyAlignment="1">
      <alignment horizontal="center" vertical="center"/>
    </xf>
    <xf numFmtId="49" fontId="1" fillId="0" borderId="11" xfId="27" applyNumberFormat="1" applyBorder="1" applyAlignment="1">
      <alignment horizontal="center" vertical="center"/>
    </xf>
    <xf numFmtId="49" fontId="1" fillId="0" borderId="37" xfId="27" applyNumberFormat="1" applyBorder="1" applyAlignment="1">
      <alignment horizontal="center" vertical="center"/>
    </xf>
    <xf numFmtId="0" fontId="104" fillId="0" borderId="37" xfId="27" applyFont="1" applyBorder="1" applyAlignment="1">
      <alignment horizontal="center" vertical="center" wrapText="1"/>
    </xf>
    <xf numFmtId="166" fontId="0" fillId="0" borderId="37" xfId="28" applyNumberFormat="1" applyFont="1" applyBorder="1" applyAlignment="1">
      <alignment horizontal="center" vertical="center"/>
    </xf>
    <xf numFmtId="166" fontId="100" fillId="0" borderId="8" xfId="28" applyNumberFormat="1" applyFont="1" applyBorder="1" applyAlignment="1">
      <alignment horizontal="center" vertical="center"/>
    </xf>
    <xf numFmtId="14" fontId="1" fillId="0" borderId="8" xfId="27" applyNumberFormat="1" applyBorder="1" applyAlignment="1">
      <alignment horizontal="center" vertical="center"/>
    </xf>
    <xf numFmtId="166" fontId="0" fillId="0" borderId="8" xfId="28" applyNumberFormat="1" applyFont="1" applyBorder="1" applyAlignment="1">
      <alignment horizontal="center" vertical="center"/>
    </xf>
    <xf numFmtId="166" fontId="100" fillId="0" borderId="8" xfId="28" applyNumberFormat="1" applyFont="1" applyBorder="1" applyAlignment="1">
      <alignment horizontal="center" vertical="center" wrapText="1"/>
    </xf>
    <xf numFmtId="0" fontId="1" fillId="0" borderId="8" xfId="27" applyBorder="1" applyAlignment="1">
      <alignment horizontal="center" vertical="center"/>
    </xf>
    <xf numFmtId="0" fontId="104" fillId="0" borderId="8" xfId="27" applyFont="1" applyBorder="1" applyAlignment="1">
      <alignment horizontal="center" vertical="center" wrapText="1"/>
    </xf>
    <xf numFmtId="166" fontId="100" fillId="0" borderId="11" xfId="27" applyNumberFormat="1" applyFont="1" applyBorder="1" applyAlignment="1">
      <alignment horizontal="center" vertical="center"/>
    </xf>
    <xf numFmtId="166" fontId="100" fillId="0" borderId="37" xfId="27" applyNumberFormat="1" applyFont="1" applyBorder="1" applyAlignment="1">
      <alignment horizontal="center" vertical="center"/>
    </xf>
    <xf numFmtId="166" fontId="100" fillId="0" borderId="22" xfId="27" applyNumberFormat="1" applyFont="1" applyBorder="1" applyAlignment="1">
      <alignment horizontal="center" vertical="center"/>
    </xf>
    <xf numFmtId="0" fontId="1" fillId="0" borderId="11" xfId="27" applyFill="1" applyBorder="1" applyAlignment="1">
      <alignment horizontal="center" vertical="center"/>
    </xf>
    <xf numFmtId="0" fontId="1" fillId="0" borderId="37" xfId="27" applyFill="1" applyBorder="1" applyAlignment="1">
      <alignment horizontal="center" vertical="center"/>
    </xf>
    <xf numFmtId="0" fontId="1" fillId="0" borderId="22" xfId="27" applyFill="1" applyBorder="1" applyAlignment="1">
      <alignment horizontal="center" vertical="center"/>
    </xf>
    <xf numFmtId="0" fontId="103" fillId="0" borderId="8" xfId="27" applyFont="1" applyBorder="1" applyAlignment="1">
      <alignment horizontal="center" vertical="center" wrapText="1"/>
    </xf>
    <xf numFmtId="0" fontId="102" fillId="0" borderId="0" xfId="27" applyFont="1" applyAlignment="1">
      <alignment horizontal="center" vertical="center" wrapText="1"/>
    </xf>
  </cellXfs>
  <cellStyles count="29">
    <cellStyle name="Ezres" xfId="1" builtinId="3"/>
    <cellStyle name="Ezres 2" xfId="2"/>
    <cellStyle name="Ezres 2 2" xfId="3"/>
    <cellStyle name="Ezres 2 2 2" xfId="4"/>
    <cellStyle name="Ezres 2 2 3" xfId="20"/>
    <cellStyle name="Ezres 2 3" xfId="19"/>
    <cellStyle name="Ezres 3" xfId="5"/>
    <cellStyle name="Ezres 3 2" xfId="6"/>
    <cellStyle name="Ezres 4" xfId="23"/>
    <cellStyle name="Ezres 5" xfId="25"/>
    <cellStyle name="Ezres 5 2" xfId="28"/>
    <cellStyle name="Normál" xfId="0" builtinId="0"/>
    <cellStyle name="Normál 2" xfId="7"/>
    <cellStyle name="Normál 3" xfId="8"/>
    <cellStyle name="Normál 3 2" xfId="9"/>
    <cellStyle name="Normál 3 3" xfId="24"/>
    <cellStyle name="Normál 4" xfId="10"/>
    <cellStyle name="Normál 5" xfId="22"/>
    <cellStyle name="Normál 6" xfId="26"/>
    <cellStyle name="Normál 6 2" xfId="27"/>
    <cellStyle name="Normál_KVRENMUNKA" xfId="11"/>
    <cellStyle name="Normál_rendelet mellékletei (1)" xfId="12"/>
    <cellStyle name="Normál_VAGYONK" xfId="13"/>
    <cellStyle name="Normál_VAGYONKIM" xfId="14"/>
    <cellStyle name="Normál_Zárszámadás mell" xfId="15"/>
    <cellStyle name="Normál_Zárszámadás mell 2" xfId="16"/>
    <cellStyle name="Százalék 2" xfId="17"/>
    <cellStyle name="Százalék 3" xfId="18"/>
    <cellStyle name="Százalék 3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2"/>
  <sheetViews>
    <sheetView tabSelected="1" view="pageBreakPreview" topLeftCell="I28" zoomScale="60" zoomScaleNormal="80" workbookViewId="0">
      <selection activeCell="K62" sqref="K62"/>
    </sheetView>
  </sheetViews>
  <sheetFormatPr defaultRowHeight="14.25" x14ac:dyDescent="0.2"/>
  <cols>
    <col min="1" max="1" width="36" style="32" customWidth="1"/>
    <col min="2" max="3" width="15.5703125" style="32" bestFit="1" customWidth="1"/>
    <col min="4" max="4" width="19.140625" style="32" customWidth="1"/>
    <col min="5" max="5" width="12" style="32" customWidth="1"/>
    <col min="6" max="6" width="14.5703125" style="32" customWidth="1"/>
    <col min="7" max="8" width="14.7109375" style="32" customWidth="1"/>
    <col min="9" max="9" width="9.7109375" style="32" customWidth="1"/>
    <col min="10" max="10" width="12.7109375" style="32" customWidth="1"/>
    <col min="11" max="11" width="14.28515625" style="32" customWidth="1"/>
    <col min="12" max="12" width="13.28515625" style="32" customWidth="1"/>
    <col min="13" max="13" width="18.28515625" style="32" customWidth="1"/>
    <col min="14" max="14" width="15.42578125" style="32" customWidth="1"/>
    <col min="15" max="16" width="16" style="32" customWidth="1"/>
    <col min="17" max="17" width="11.140625" style="44" customWidth="1"/>
    <col min="18" max="18" width="17.28515625" style="574" bestFit="1" customWidth="1"/>
  </cols>
  <sheetData>
    <row r="3" spans="1:18" ht="37.5" customHeight="1" x14ac:dyDescent="0.25">
      <c r="A3" s="1493" t="s">
        <v>602</v>
      </c>
      <c r="B3" s="1493"/>
      <c r="C3" s="1493"/>
      <c r="D3" s="1493"/>
      <c r="E3" s="1493"/>
      <c r="F3" s="1493"/>
      <c r="G3" s="1493"/>
      <c r="H3" s="1493"/>
      <c r="I3" s="1493"/>
      <c r="J3" s="1493"/>
      <c r="K3" s="1493"/>
      <c r="L3" s="1493"/>
      <c r="M3" s="1493"/>
      <c r="N3" s="1493"/>
      <c r="O3" s="1493"/>
      <c r="P3" s="1493"/>
      <c r="Q3" s="1493"/>
    </row>
    <row r="4" spans="1:18" ht="1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8" ht="18.75" customHeight="1" thickBot="1" x14ac:dyDescent="0.25">
      <c r="A5" s="64"/>
      <c r="B5" s="64"/>
      <c r="C5" s="64"/>
      <c r="D5" s="64"/>
      <c r="E5" s="64"/>
      <c r="F5" s="670"/>
      <c r="G5" s="670"/>
      <c r="H5" s="670"/>
      <c r="I5" s="670"/>
      <c r="J5" s="670"/>
      <c r="K5" s="670"/>
      <c r="L5" s="670"/>
      <c r="M5" s="670"/>
      <c r="N5" s="1494" t="s">
        <v>530</v>
      </c>
      <c r="O5" s="1495"/>
      <c r="P5" s="1495"/>
      <c r="Q5" s="1495"/>
    </row>
    <row r="6" spans="1:18" s="18" customFormat="1" ht="14.25" customHeight="1" thickBot="1" x14ac:dyDescent="0.25">
      <c r="A6" s="1496" t="s">
        <v>86</v>
      </c>
      <c r="B6" s="1498" t="s">
        <v>146</v>
      </c>
      <c r="C6" s="1499"/>
      <c r="D6" s="1499"/>
      <c r="E6" s="1500"/>
      <c r="F6" s="1498" t="s">
        <v>511</v>
      </c>
      <c r="G6" s="1499"/>
      <c r="H6" s="1499"/>
      <c r="I6" s="1500"/>
      <c r="J6" s="1498" t="s">
        <v>145</v>
      </c>
      <c r="K6" s="1499"/>
      <c r="L6" s="1499"/>
      <c r="M6" s="1500"/>
      <c r="N6" s="1501" t="s">
        <v>11</v>
      </c>
      <c r="O6" s="1502"/>
      <c r="P6" s="1502"/>
      <c r="Q6" s="1503"/>
      <c r="R6" s="671"/>
    </row>
    <row r="7" spans="1:18" s="18" customFormat="1" ht="51" customHeight="1" thickBot="1" x14ac:dyDescent="0.25">
      <c r="A7" s="1497"/>
      <c r="B7" s="168" t="s">
        <v>147</v>
      </c>
      <c r="C7" s="168" t="s">
        <v>148</v>
      </c>
      <c r="D7" s="241" t="s">
        <v>149</v>
      </c>
      <c r="E7" s="258" t="s">
        <v>150</v>
      </c>
      <c r="F7" s="252" t="s">
        <v>147</v>
      </c>
      <c r="G7" s="168" t="s">
        <v>148</v>
      </c>
      <c r="H7" s="241" t="s">
        <v>149</v>
      </c>
      <c r="I7" s="258" t="s">
        <v>150</v>
      </c>
      <c r="J7" s="252" t="s">
        <v>147</v>
      </c>
      <c r="K7" s="168" t="s">
        <v>148</v>
      </c>
      <c r="L7" s="169" t="s">
        <v>149</v>
      </c>
      <c r="M7" s="169" t="s">
        <v>150</v>
      </c>
      <c r="N7" s="168" t="s">
        <v>147</v>
      </c>
      <c r="O7" s="168" t="s">
        <v>148</v>
      </c>
      <c r="P7" s="241" t="s">
        <v>149</v>
      </c>
      <c r="Q7" s="258" t="s">
        <v>150</v>
      </c>
      <c r="R7" s="671"/>
    </row>
    <row r="8" spans="1:18" s="18" customFormat="1" ht="56.25" customHeight="1" thickBot="1" x14ac:dyDescent="0.3">
      <c r="A8" s="152" t="s">
        <v>53</v>
      </c>
      <c r="B8" s="90">
        <f>B9+B16+B15</f>
        <v>347079172</v>
      </c>
      <c r="C8" s="90">
        <f>C9+C16+C15</f>
        <v>711198261</v>
      </c>
      <c r="D8" s="90">
        <f>D9+D16+D15</f>
        <v>711198261</v>
      </c>
      <c r="E8" s="272">
        <f>D8/C8*100</f>
        <v>100</v>
      </c>
      <c r="F8" s="90">
        <f>F9+F16</f>
        <v>0</v>
      </c>
      <c r="G8" s="90">
        <f>G9+G16</f>
        <v>6995018</v>
      </c>
      <c r="H8" s="242">
        <f>H9+H16</f>
        <v>9705467</v>
      </c>
      <c r="I8" s="272"/>
      <c r="J8" s="153">
        <f>J9+J16</f>
        <v>0</v>
      </c>
      <c r="K8" s="144">
        <f>K9+K16</f>
        <v>0</v>
      </c>
      <c r="L8" s="154">
        <f>L9+L16</f>
        <v>0</v>
      </c>
      <c r="M8" s="326"/>
      <c r="N8" s="261">
        <f>J8+F8+B8</f>
        <v>347079172</v>
      </c>
      <c r="O8" s="102">
        <f>K8+G8+C8</f>
        <v>718193279</v>
      </c>
      <c r="P8" s="264">
        <f>L8+H8+D8</f>
        <v>720903728</v>
      </c>
      <c r="Q8" s="272">
        <f>P8/O8*100</f>
        <v>100.37739826857946</v>
      </c>
      <c r="R8" s="671"/>
    </row>
    <row r="9" spans="1:18" s="18" customFormat="1" ht="33.75" customHeight="1" thickBot="1" x14ac:dyDescent="0.3">
      <c r="A9" s="151" t="s">
        <v>57</v>
      </c>
      <c r="B9" s="123">
        <f>SUM(B10:B14)</f>
        <v>345836772</v>
      </c>
      <c r="C9" s="123">
        <f t="shared" ref="C9:D9" si="0">SUM(C10:C14)</f>
        <v>283375228</v>
      </c>
      <c r="D9" s="123">
        <f t="shared" si="0"/>
        <v>283375228</v>
      </c>
      <c r="E9" s="156">
        <f t="shared" ref="E9:E34" si="1">D9/C9*100</f>
        <v>100</v>
      </c>
      <c r="F9" s="123">
        <f>SUM(F10:F13)</f>
        <v>0</v>
      </c>
      <c r="G9" s="91">
        <f>SUM(G10:G13)</f>
        <v>0</v>
      </c>
      <c r="H9" s="92">
        <f>SUM(H10:H13)</f>
        <v>0</v>
      </c>
      <c r="I9" s="156"/>
      <c r="J9" s="123">
        <f>SUM(J10:J13)</f>
        <v>0</v>
      </c>
      <c r="K9" s="91">
        <f>SUM(K10:K13)</f>
        <v>0</v>
      </c>
      <c r="L9" s="92">
        <f>SUM(L10:L13)</f>
        <v>0</v>
      </c>
      <c r="M9" s="156"/>
      <c r="N9" s="123">
        <f t="shared" ref="N9:P34" si="2">J9+F9+B9</f>
        <v>345836772</v>
      </c>
      <c r="O9" s="102">
        <f t="shared" ref="O9:O15" si="3">K9+G9+C9</f>
        <v>283375228</v>
      </c>
      <c r="P9" s="92">
        <f t="shared" si="2"/>
        <v>283375228</v>
      </c>
      <c r="Q9" s="156">
        <f t="shared" ref="Q9:Q46" si="4">P9/O9*100</f>
        <v>100</v>
      </c>
      <c r="R9" s="671"/>
    </row>
    <row r="10" spans="1:18" s="18" customFormat="1" ht="48.75" customHeight="1" x14ac:dyDescent="0.25">
      <c r="A10" s="150" t="s">
        <v>54</v>
      </c>
      <c r="B10" s="235">
        <v>176532264</v>
      </c>
      <c r="C10" s="238">
        <v>179789816</v>
      </c>
      <c r="D10" s="243">
        <v>179789816</v>
      </c>
      <c r="E10" s="331">
        <f t="shared" si="1"/>
        <v>100</v>
      </c>
      <c r="F10" s="235"/>
      <c r="G10" s="96"/>
      <c r="H10" s="134"/>
      <c r="I10" s="274"/>
      <c r="J10" s="235"/>
      <c r="K10" s="134"/>
      <c r="L10" s="134"/>
      <c r="M10" s="274"/>
      <c r="N10" s="327">
        <f t="shared" si="2"/>
        <v>176532264</v>
      </c>
      <c r="O10" s="102">
        <f t="shared" si="3"/>
        <v>179789816</v>
      </c>
      <c r="P10" s="265">
        <f t="shared" si="2"/>
        <v>179789816</v>
      </c>
      <c r="Q10" s="274">
        <f t="shared" si="4"/>
        <v>100</v>
      </c>
      <c r="R10" s="671"/>
    </row>
    <row r="11" spans="1:18" s="18" customFormat="1" ht="46.5" customHeight="1" x14ac:dyDescent="0.25">
      <c r="A11" s="93" t="s">
        <v>55</v>
      </c>
      <c r="B11" s="235">
        <v>70212165</v>
      </c>
      <c r="C11" s="238">
        <v>70536434</v>
      </c>
      <c r="D11" s="243">
        <v>70536434</v>
      </c>
      <c r="E11" s="332">
        <f t="shared" si="1"/>
        <v>100</v>
      </c>
      <c r="F11" s="235"/>
      <c r="G11" s="96"/>
      <c r="H11" s="134"/>
      <c r="I11" s="259"/>
      <c r="J11" s="235"/>
      <c r="K11" s="134"/>
      <c r="L11" s="134"/>
      <c r="M11" s="259"/>
      <c r="N11" s="260">
        <f t="shared" si="2"/>
        <v>70212165</v>
      </c>
      <c r="O11" s="102">
        <f t="shared" si="3"/>
        <v>70536434</v>
      </c>
      <c r="P11" s="263">
        <f t="shared" si="2"/>
        <v>70536434</v>
      </c>
      <c r="Q11" s="259">
        <f t="shared" si="4"/>
        <v>100</v>
      </c>
      <c r="R11" s="671"/>
    </row>
    <row r="12" spans="1:18" s="18" customFormat="1" ht="42.75" customHeight="1" x14ac:dyDescent="0.25">
      <c r="A12" s="93" t="s">
        <v>56</v>
      </c>
      <c r="B12" s="236">
        <v>6520690</v>
      </c>
      <c r="C12" s="239">
        <v>7275694</v>
      </c>
      <c r="D12" s="244">
        <v>7275694</v>
      </c>
      <c r="E12" s="332">
        <f t="shared" si="1"/>
        <v>100</v>
      </c>
      <c r="F12" s="236"/>
      <c r="G12" s="97"/>
      <c r="H12" s="135"/>
      <c r="I12" s="259"/>
      <c r="J12" s="236"/>
      <c r="K12" s="135"/>
      <c r="L12" s="135"/>
      <c r="M12" s="259"/>
      <c r="N12" s="143">
        <f t="shared" si="2"/>
        <v>6520690</v>
      </c>
      <c r="O12" s="102">
        <f t="shared" si="3"/>
        <v>7275694</v>
      </c>
      <c r="P12" s="263">
        <f t="shared" si="2"/>
        <v>7275694</v>
      </c>
      <c r="Q12" s="259">
        <f t="shared" si="4"/>
        <v>100</v>
      </c>
      <c r="R12" s="671"/>
    </row>
    <row r="13" spans="1:18" s="18" customFormat="1" ht="43.5" x14ac:dyDescent="0.25">
      <c r="A13" s="93" t="s">
        <v>465</v>
      </c>
      <c r="B13" s="236">
        <v>92571653</v>
      </c>
      <c r="C13" s="239">
        <v>25773284</v>
      </c>
      <c r="D13" s="244">
        <v>25773284</v>
      </c>
      <c r="E13" s="332">
        <f t="shared" si="1"/>
        <v>100</v>
      </c>
      <c r="F13" s="236"/>
      <c r="G13" s="97"/>
      <c r="H13" s="135"/>
      <c r="I13" s="259"/>
      <c r="J13" s="236"/>
      <c r="K13" s="135"/>
      <c r="L13" s="135"/>
      <c r="M13" s="259"/>
      <c r="N13" s="143">
        <f t="shared" si="2"/>
        <v>92571653</v>
      </c>
      <c r="O13" s="102">
        <f t="shared" si="3"/>
        <v>25773284</v>
      </c>
      <c r="P13" s="263">
        <f t="shared" si="2"/>
        <v>25773284</v>
      </c>
      <c r="Q13" s="259">
        <f t="shared" si="4"/>
        <v>100</v>
      </c>
      <c r="R13" s="671"/>
    </row>
    <row r="14" spans="1:18" s="18" customFormat="1" ht="29.25" x14ac:dyDescent="0.25">
      <c r="A14" s="103" t="s">
        <v>526</v>
      </c>
      <c r="B14" s="925"/>
      <c r="C14" s="926"/>
      <c r="D14" s="247"/>
      <c r="E14" s="333"/>
      <c r="F14" s="925"/>
      <c r="G14" s="106"/>
      <c r="H14" s="137"/>
      <c r="I14" s="272"/>
      <c r="J14" s="925"/>
      <c r="K14" s="137"/>
      <c r="L14" s="137"/>
      <c r="M14" s="272"/>
      <c r="N14" s="261">
        <v>0</v>
      </c>
      <c r="O14" s="102">
        <f t="shared" si="3"/>
        <v>0</v>
      </c>
      <c r="P14" s="264">
        <f t="shared" si="2"/>
        <v>0</v>
      </c>
      <c r="Q14" s="272"/>
      <c r="R14" s="671"/>
    </row>
    <row r="15" spans="1:18" s="18" customFormat="1" ht="43.5" x14ac:dyDescent="0.25">
      <c r="A15" s="103" t="s">
        <v>525</v>
      </c>
      <c r="B15" s="925"/>
      <c r="C15" s="926"/>
      <c r="D15" s="247"/>
      <c r="E15" s="333"/>
      <c r="F15" s="925"/>
      <c r="G15" s="106"/>
      <c r="H15" s="137"/>
      <c r="I15" s="272"/>
      <c r="J15" s="925"/>
      <c r="K15" s="137"/>
      <c r="L15" s="137"/>
      <c r="M15" s="272"/>
      <c r="N15" s="261">
        <f t="shared" si="2"/>
        <v>0</v>
      </c>
      <c r="O15" s="102">
        <f t="shared" si="3"/>
        <v>0</v>
      </c>
      <c r="P15" s="264">
        <v>0</v>
      </c>
      <c r="Q15" s="272"/>
      <c r="R15" s="671"/>
    </row>
    <row r="16" spans="1:18" s="75" customFormat="1" ht="44.25" thickBot="1" x14ac:dyDescent="0.3">
      <c r="A16" s="98" t="s">
        <v>142</v>
      </c>
      <c r="B16" s="237">
        <v>1242400</v>
      </c>
      <c r="C16" s="240">
        <v>427823033</v>
      </c>
      <c r="D16" s="245">
        <v>427823033</v>
      </c>
      <c r="E16" s="333">
        <f t="shared" si="1"/>
        <v>100</v>
      </c>
      <c r="F16" s="237">
        <v>0</v>
      </c>
      <c r="G16" s="101">
        <v>6995018</v>
      </c>
      <c r="H16" s="136">
        <v>9705467</v>
      </c>
      <c r="I16" s="333"/>
      <c r="J16" s="237">
        <v>0</v>
      </c>
      <c r="K16" s="136">
        <v>0</v>
      </c>
      <c r="L16" s="136">
        <v>0</v>
      </c>
      <c r="M16" s="333"/>
      <c r="N16" s="261">
        <f t="shared" si="2"/>
        <v>1242400</v>
      </c>
      <c r="O16" s="102">
        <f>K16+G16+C16</f>
        <v>434818051</v>
      </c>
      <c r="P16" s="264">
        <f t="shared" si="2"/>
        <v>437528500</v>
      </c>
      <c r="Q16" s="272">
        <f t="shared" si="4"/>
        <v>100.62335245599084</v>
      </c>
      <c r="R16" s="672"/>
    </row>
    <row r="17" spans="1:21" s="76" customFormat="1" ht="48.75" customHeight="1" thickBot="1" x14ac:dyDescent="0.3">
      <c r="A17" s="89" t="s">
        <v>58</v>
      </c>
      <c r="B17" s="123">
        <f t="shared" ref="B17:L17" si="5">SUM(B18:B19)</f>
        <v>2267638006</v>
      </c>
      <c r="C17" s="91">
        <f t="shared" si="5"/>
        <v>2095818309</v>
      </c>
      <c r="D17" s="92">
        <f t="shared" si="5"/>
        <v>671697561</v>
      </c>
      <c r="E17" s="156">
        <f t="shared" si="1"/>
        <v>32.049417552826618</v>
      </c>
      <c r="F17" s="123">
        <f t="shared" si="5"/>
        <v>0</v>
      </c>
      <c r="G17" s="91">
        <f t="shared" si="5"/>
        <v>0</v>
      </c>
      <c r="H17" s="92">
        <f t="shared" si="5"/>
        <v>0</v>
      </c>
      <c r="I17" s="156"/>
      <c r="J17" s="123">
        <f t="shared" si="5"/>
        <v>0</v>
      </c>
      <c r="K17" s="92">
        <f t="shared" si="5"/>
        <v>0</v>
      </c>
      <c r="L17" s="92">
        <f t="shared" si="5"/>
        <v>0</v>
      </c>
      <c r="M17" s="156"/>
      <c r="N17" s="123">
        <f t="shared" si="2"/>
        <v>2267638006</v>
      </c>
      <c r="O17" s="102">
        <f t="shared" ref="O17:O34" si="6">K17+G17+C17</f>
        <v>2095818309</v>
      </c>
      <c r="P17" s="92">
        <f t="shared" si="2"/>
        <v>671697561</v>
      </c>
      <c r="Q17" s="156">
        <f t="shared" si="4"/>
        <v>32.049417552826618</v>
      </c>
      <c r="R17" s="673"/>
    </row>
    <row r="18" spans="1:21" s="18" customFormat="1" ht="58.5" customHeight="1" x14ac:dyDescent="0.25">
      <c r="A18" s="145" t="s">
        <v>109</v>
      </c>
      <c r="B18" s="146"/>
      <c r="C18" s="147">
        <v>16999999</v>
      </c>
      <c r="D18" s="246">
        <v>16999999</v>
      </c>
      <c r="E18" s="274">
        <f t="shared" si="1"/>
        <v>100</v>
      </c>
      <c r="F18" s="253"/>
      <c r="G18" s="148"/>
      <c r="H18" s="149"/>
      <c r="I18" s="274"/>
      <c r="J18" s="253"/>
      <c r="K18" s="149"/>
      <c r="L18" s="149"/>
      <c r="M18" s="274"/>
      <c r="N18" s="262">
        <f t="shared" si="2"/>
        <v>0</v>
      </c>
      <c r="O18" s="102">
        <f t="shared" si="6"/>
        <v>16999999</v>
      </c>
      <c r="P18" s="265">
        <f t="shared" si="2"/>
        <v>16999999</v>
      </c>
      <c r="Q18" s="274">
        <f t="shared" si="4"/>
        <v>100</v>
      </c>
      <c r="R18" s="671"/>
    </row>
    <row r="19" spans="1:21" s="18" customFormat="1" ht="48.75" customHeight="1" thickBot="1" x14ac:dyDescent="0.3">
      <c r="A19" s="103" t="s">
        <v>59</v>
      </c>
      <c r="B19" s="104">
        <v>2267638006</v>
      </c>
      <c r="C19" s="105">
        <v>2078818310</v>
      </c>
      <c r="D19" s="247">
        <v>654697562</v>
      </c>
      <c r="E19" s="272">
        <f t="shared" si="1"/>
        <v>31.493736554590956</v>
      </c>
      <c r="F19" s="254"/>
      <c r="G19" s="106"/>
      <c r="H19" s="137"/>
      <c r="I19" s="272"/>
      <c r="J19" s="254"/>
      <c r="K19" s="137"/>
      <c r="L19" s="137"/>
      <c r="M19" s="272"/>
      <c r="N19" s="261">
        <f t="shared" si="2"/>
        <v>2267638006</v>
      </c>
      <c r="O19" s="102">
        <f t="shared" si="6"/>
        <v>2078818310</v>
      </c>
      <c r="P19" s="264">
        <f t="shared" si="2"/>
        <v>654697562</v>
      </c>
      <c r="Q19" s="272">
        <f t="shared" si="4"/>
        <v>31.493736554590956</v>
      </c>
      <c r="R19" s="671"/>
    </row>
    <row r="20" spans="1:21" s="65" customFormat="1" ht="15.75" thickBot="1" x14ac:dyDescent="0.3">
      <c r="A20" s="152" t="s">
        <v>45</v>
      </c>
      <c r="B20" s="932">
        <f>B22+B23+B27+B21</f>
        <v>79608000</v>
      </c>
      <c r="C20" s="932">
        <f>C22+C23+C27+C21</f>
        <v>79608000</v>
      </c>
      <c r="D20" s="932">
        <f>D22+D23+D27+D21</f>
        <v>98637447</v>
      </c>
      <c r="E20" s="156">
        <f t="shared" si="1"/>
        <v>123.9039380464275</v>
      </c>
      <c r="F20" s="931">
        <f>F22+F23+F27</f>
        <v>0</v>
      </c>
      <c r="G20" s="931">
        <f>G22+G23+G27</f>
        <v>0</v>
      </c>
      <c r="H20" s="932">
        <f>H22+H23+H27</f>
        <v>0</v>
      </c>
      <c r="I20" s="156"/>
      <c r="J20" s="936">
        <f>J22+J23+J27</f>
        <v>0</v>
      </c>
      <c r="K20" s="931">
        <f>K22+K23+K27</f>
        <v>0</v>
      </c>
      <c r="L20" s="931">
        <f>L22+L23+L27</f>
        <v>0</v>
      </c>
      <c r="M20" s="156"/>
      <c r="N20" s="156">
        <f t="shared" si="2"/>
        <v>79608000</v>
      </c>
      <c r="O20" s="102">
        <f t="shared" si="6"/>
        <v>79608000</v>
      </c>
      <c r="P20" s="156">
        <f t="shared" si="2"/>
        <v>98637447</v>
      </c>
      <c r="Q20" s="156">
        <f t="shared" si="4"/>
        <v>123.9039380464275</v>
      </c>
      <c r="R20" s="674"/>
    </row>
    <row r="21" spans="1:21" s="18" customFormat="1" ht="30" thickBot="1" x14ac:dyDescent="0.3">
      <c r="A21" s="929" t="s">
        <v>527</v>
      </c>
      <c r="B21" s="930"/>
      <c r="C21" s="930"/>
      <c r="D21" s="933"/>
      <c r="E21" s="331"/>
      <c r="F21" s="935"/>
      <c r="G21" s="930"/>
      <c r="H21" s="933"/>
      <c r="I21" s="331"/>
      <c r="J21" s="935"/>
      <c r="K21" s="930"/>
      <c r="L21" s="930"/>
      <c r="M21" s="95"/>
      <c r="N21" s="156">
        <f t="shared" si="2"/>
        <v>0</v>
      </c>
      <c r="O21" s="102">
        <f t="shared" si="6"/>
        <v>0</v>
      </c>
      <c r="P21" s="95"/>
      <c r="Q21" s="1103"/>
      <c r="R21" s="671"/>
    </row>
    <row r="22" spans="1:21" s="75" customFormat="1" ht="15" x14ac:dyDescent="0.25">
      <c r="A22" s="107" t="s">
        <v>46</v>
      </c>
      <c r="B22" s="108">
        <v>13130000</v>
      </c>
      <c r="C22" s="109">
        <v>13130000</v>
      </c>
      <c r="D22" s="248">
        <v>12562748</v>
      </c>
      <c r="E22" s="331">
        <f t="shared" si="1"/>
        <v>95.679725818735719</v>
      </c>
      <c r="F22" s="255"/>
      <c r="G22" s="110"/>
      <c r="H22" s="111"/>
      <c r="I22" s="259"/>
      <c r="J22" s="255"/>
      <c r="K22" s="111"/>
      <c r="L22" s="111"/>
      <c r="M22" s="274"/>
      <c r="N22" s="262">
        <f t="shared" si="2"/>
        <v>13130000</v>
      </c>
      <c r="O22" s="102">
        <f t="shared" si="6"/>
        <v>13130000</v>
      </c>
      <c r="P22" s="265">
        <f t="shared" si="2"/>
        <v>12562748</v>
      </c>
      <c r="Q22" s="274">
        <f t="shared" si="4"/>
        <v>95.679725818735719</v>
      </c>
      <c r="R22" s="672"/>
    </row>
    <row r="23" spans="1:21" s="75" customFormat="1" ht="29.25" x14ac:dyDescent="0.25">
      <c r="A23" s="112" t="s">
        <v>47</v>
      </c>
      <c r="B23" s="927">
        <f>SUM(B24:B26)</f>
        <v>60990000</v>
      </c>
      <c r="C23" s="927">
        <f t="shared" ref="C23:D23" si="7">SUM(C24:C26)</f>
        <v>60990000</v>
      </c>
      <c r="D23" s="927">
        <f t="shared" si="7"/>
        <v>78990549</v>
      </c>
      <c r="E23" s="332">
        <f t="shared" si="1"/>
        <v>129.51393507132315</v>
      </c>
      <c r="F23" s="158">
        <f>F24+F25+F26</f>
        <v>0</v>
      </c>
      <c r="G23" s="113">
        <f>G24+G25+G26</f>
        <v>0</v>
      </c>
      <c r="H23" s="114">
        <f>H24+H25+H26</f>
        <v>0</v>
      </c>
      <c r="I23" s="259"/>
      <c r="J23" s="158">
        <f>J24+J25+J26</f>
        <v>0</v>
      </c>
      <c r="K23" s="114">
        <f>K24+K25+K26</f>
        <v>0</v>
      </c>
      <c r="L23" s="114">
        <f>L24+L25+L26</f>
        <v>0</v>
      </c>
      <c r="M23" s="259"/>
      <c r="N23" s="143">
        <f t="shared" si="2"/>
        <v>60990000</v>
      </c>
      <c r="O23" s="102">
        <f t="shared" si="6"/>
        <v>60990000</v>
      </c>
      <c r="P23" s="263">
        <f t="shared" si="2"/>
        <v>78990549</v>
      </c>
      <c r="Q23" s="259">
        <f t="shared" si="4"/>
        <v>129.51393507132315</v>
      </c>
      <c r="R23" s="672"/>
    </row>
    <row r="24" spans="1:21" s="75" customFormat="1" ht="57.75" x14ac:dyDescent="0.25">
      <c r="A24" s="103" t="s">
        <v>48</v>
      </c>
      <c r="B24" s="115">
        <v>52000000</v>
      </c>
      <c r="C24" s="116">
        <v>52000000</v>
      </c>
      <c r="D24" s="249">
        <v>69403671</v>
      </c>
      <c r="E24" s="332">
        <f t="shared" si="1"/>
        <v>133.46859807692309</v>
      </c>
      <c r="F24" s="256"/>
      <c r="G24" s="117"/>
      <c r="H24" s="118"/>
      <c r="I24" s="259"/>
      <c r="J24" s="256"/>
      <c r="K24" s="118"/>
      <c r="L24" s="118"/>
      <c r="M24" s="259"/>
      <c r="N24" s="143">
        <f t="shared" si="2"/>
        <v>52000000</v>
      </c>
      <c r="O24" s="102">
        <f t="shared" si="6"/>
        <v>52000000</v>
      </c>
      <c r="P24" s="263">
        <f t="shared" si="2"/>
        <v>69403671</v>
      </c>
      <c r="Q24" s="259">
        <f t="shared" si="4"/>
        <v>133.46859807692309</v>
      </c>
      <c r="R24" s="672"/>
    </row>
    <row r="25" spans="1:21" s="18" customFormat="1" ht="24.75" customHeight="1" x14ac:dyDescent="0.25">
      <c r="A25" s="93" t="s">
        <v>49</v>
      </c>
      <c r="B25" s="119">
        <v>8990000</v>
      </c>
      <c r="C25" s="120">
        <v>8990000</v>
      </c>
      <c r="D25" s="250">
        <v>9586878</v>
      </c>
      <c r="E25" s="332">
        <f t="shared" si="1"/>
        <v>106.63935483870968</v>
      </c>
      <c r="F25" s="257"/>
      <c r="G25" s="121"/>
      <c r="H25" s="122"/>
      <c r="I25" s="259"/>
      <c r="J25" s="257"/>
      <c r="K25" s="122"/>
      <c r="L25" s="122"/>
      <c r="M25" s="259"/>
      <c r="N25" s="143">
        <f t="shared" si="2"/>
        <v>8990000</v>
      </c>
      <c r="O25" s="102">
        <f t="shared" si="6"/>
        <v>8990000</v>
      </c>
      <c r="P25" s="263">
        <f t="shared" si="2"/>
        <v>9586878</v>
      </c>
      <c r="Q25" s="259">
        <f t="shared" si="4"/>
        <v>106.63935483870968</v>
      </c>
      <c r="R25" s="671"/>
    </row>
    <row r="26" spans="1:21" s="18" customFormat="1" ht="47.25" customHeight="1" x14ac:dyDescent="0.25">
      <c r="A26" s="93" t="s">
        <v>50</v>
      </c>
      <c r="B26" s="119"/>
      <c r="C26" s="120"/>
      <c r="D26" s="250"/>
      <c r="E26" s="332"/>
      <c r="F26" s="257"/>
      <c r="G26" s="121"/>
      <c r="H26" s="122"/>
      <c r="I26" s="259"/>
      <c r="J26" s="257"/>
      <c r="K26" s="122"/>
      <c r="L26" s="122"/>
      <c r="M26" s="259"/>
      <c r="N26" s="143">
        <f t="shared" si="2"/>
        <v>0</v>
      </c>
      <c r="O26" s="102">
        <f t="shared" si="6"/>
        <v>0</v>
      </c>
      <c r="P26" s="263">
        <f t="shared" si="2"/>
        <v>0</v>
      </c>
      <c r="Q26" s="259"/>
      <c r="R26" s="671"/>
    </row>
    <row r="27" spans="1:21" s="75" customFormat="1" ht="48.75" customHeight="1" thickBot="1" x14ac:dyDescent="0.3">
      <c r="A27" s="928" t="s">
        <v>570</v>
      </c>
      <c r="B27" s="99">
        <v>5488000</v>
      </c>
      <c r="C27" s="100">
        <v>5488000</v>
      </c>
      <c r="D27" s="245">
        <v>7084150</v>
      </c>
      <c r="E27" s="934">
        <f t="shared" si="1"/>
        <v>129.08436588921285</v>
      </c>
      <c r="F27" s="237"/>
      <c r="G27" s="101"/>
      <c r="H27" s="136"/>
      <c r="I27" s="705"/>
      <c r="J27" s="256"/>
      <c r="K27" s="118"/>
      <c r="L27" s="118"/>
      <c r="M27" s="272"/>
      <c r="N27" s="261">
        <f t="shared" si="2"/>
        <v>5488000</v>
      </c>
      <c r="O27" s="102">
        <f t="shared" si="6"/>
        <v>5488000</v>
      </c>
      <c r="P27" s="264">
        <f t="shared" si="2"/>
        <v>7084150</v>
      </c>
      <c r="Q27" s="272">
        <f t="shared" si="4"/>
        <v>129.08436588921285</v>
      </c>
      <c r="R27" s="672"/>
    </row>
    <row r="28" spans="1:21" s="18" customFormat="1" ht="15.75" thickBot="1" x14ac:dyDescent="0.3">
      <c r="A28" s="89" t="s">
        <v>51</v>
      </c>
      <c r="B28" s="324">
        <v>65809738</v>
      </c>
      <c r="C28" s="91">
        <v>105195667</v>
      </c>
      <c r="D28" s="325">
        <v>93960590</v>
      </c>
      <c r="E28" s="156">
        <f t="shared" si="1"/>
        <v>89.319829114254304</v>
      </c>
      <c r="F28" s="123">
        <v>32000</v>
      </c>
      <c r="G28" s="91">
        <v>211531</v>
      </c>
      <c r="H28" s="92">
        <v>314119</v>
      </c>
      <c r="I28" s="937">
        <f>H28/G28*100</f>
        <v>148.49785610619719</v>
      </c>
      <c r="J28" s="123">
        <v>590000</v>
      </c>
      <c r="K28" s="92">
        <v>638800</v>
      </c>
      <c r="L28" s="92">
        <v>713902</v>
      </c>
      <c r="M28" s="156">
        <f>L28/K28*100</f>
        <v>111.75673137132122</v>
      </c>
      <c r="N28" s="123">
        <f t="shared" si="2"/>
        <v>66431738</v>
      </c>
      <c r="O28" s="102">
        <f t="shared" si="6"/>
        <v>106045998</v>
      </c>
      <c r="P28" s="92">
        <f t="shared" si="2"/>
        <v>94988611</v>
      </c>
      <c r="Q28" s="156">
        <f t="shared" si="4"/>
        <v>89.573027546027717</v>
      </c>
      <c r="R28" s="671"/>
    </row>
    <row r="29" spans="1:21" ht="15.75" thickBot="1" x14ac:dyDescent="0.3">
      <c r="A29" s="89" t="s">
        <v>52</v>
      </c>
      <c r="B29" s="155">
        <v>25679000</v>
      </c>
      <c r="C29" s="156">
        <v>26688031</v>
      </c>
      <c r="D29" s="251">
        <v>53514945</v>
      </c>
      <c r="E29" s="156"/>
      <c r="F29" s="166">
        <v>0</v>
      </c>
      <c r="G29" s="36">
        <v>0</v>
      </c>
      <c r="H29" s="157">
        <v>9937</v>
      </c>
      <c r="I29" s="156"/>
      <c r="J29" s="166">
        <f>SUM(J31:J32)</f>
        <v>0</v>
      </c>
      <c r="K29" s="157">
        <f>SUM(K31:K32)</f>
        <v>0</v>
      </c>
      <c r="L29" s="157">
        <f>SUM(L31:L32)</f>
        <v>0</v>
      </c>
      <c r="M29" s="156"/>
      <c r="N29" s="123">
        <f t="shared" si="2"/>
        <v>25679000</v>
      </c>
      <c r="O29" s="102">
        <f t="shared" si="6"/>
        <v>26688031</v>
      </c>
      <c r="P29" s="92">
        <f t="shared" si="2"/>
        <v>53524882</v>
      </c>
      <c r="Q29" s="156"/>
    </row>
    <row r="30" spans="1:21" ht="32.25" customHeight="1" thickBot="1" x14ac:dyDescent="0.3">
      <c r="A30" s="316" t="s">
        <v>69</v>
      </c>
      <c r="B30" s="317">
        <v>10999199</v>
      </c>
      <c r="C30" s="318">
        <v>16493197</v>
      </c>
      <c r="D30" s="319">
        <v>13653774</v>
      </c>
      <c r="E30" s="320">
        <f t="shared" si="1"/>
        <v>82.784277663087394</v>
      </c>
      <c r="F30" s="321"/>
      <c r="G30" s="322"/>
      <c r="H30" s="323"/>
      <c r="I30" s="320"/>
      <c r="J30" s="321"/>
      <c r="K30" s="323"/>
      <c r="L30" s="323"/>
      <c r="M30" s="156"/>
      <c r="N30" s="317">
        <f t="shared" si="2"/>
        <v>10999199</v>
      </c>
      <c r="O30" s="102">
        <f t="shared" si="6"/>
        <v>16493197</v>
      </c>
      <c r="P30" s="319">
        <f t="shared" si="2"/>
        <v>13653774</v>
      </c>
      <c r="Q30" s="320">
        <f t="shared" si="4"/>
        <v>82.784277663087394</v>
      </c>
    </row>
    <row r="31" spans="1:21" s="18" customFormat="1" ht="30.75" thickBot="1" x14ac:dyDescent="0.3">
      <c r="A31" s="89" t="s">
        <v>60</v>
      </c>
      <c r="B31" s="123">
        <f>SUM(B32+B33)</f>
        <v>0</v>
      </c>
      <c r="C31" s="123">
        <f t="shared" ref="C31:D31" si="8">SUM(C32+C33)</f>
        <v>0</v>
      </c>
      <c r="D31" s="123">
        <f t="shared" si="8"/>
        <v>0</v>
      </c>
      <c r="E31" s="156"/>
      <c r="F31" s="123">
        <f>SUM(F32:F33)</f>
        <v>0</v>
      </c>
      <c r="G31" s="91">
        <f>SUM(G32)</f>
        <v>0</v>
      </c>
      <c r="H31" s="92">
        <f>SUM(H32)</f>
        <v>0</v>
      </c>
      <c r="I31" s="156"/>
      <c r="J31" s="123">
        <f>SUM(J32)</f>
        <v>0</v>
      </c>
      <c r="K31" s="92">
        <f>SUM(K32)</f>
        <v>0</v>
      </c>
      <c r="L31" s="92">
        <f>SUM(L32)</f>
        <v>0</v>
      </c>
      <c r="M31" s="156"/>
      <c r="N31" s="123">
        <f t="shared" si="2"/>
        <v>0</v>
      </c>
      <c r="O31" s="102">
        <f t="shared" si="6"/>
        <v>0</v>
      </c>
      <c r="P31" s="92">
        <f t="shared" si="2"/>
        <v>0</v>
      </c>
      <c r="Q31" s="156"/>
      <c r="R31" s="671"/>
    </row>
    <row r="32" spans="1:21" s="18" customFormat="1" ht="57.75" x14ac:dyDescent="0.25">
      <c r="A32" s="150" t="s">
        <v>466</v>
      </c>
      <c r="B32" s="94">
        <v>0</v>
      </c>
      <c r="C32" s="95">
        <v>0</v>
      </c>
      <c r="D32" s="315">
        <v>0</v>
      </c>
      <c r="E32" s="331"/>
      <c r="F32" s="235"/>
      <c r="G32" s="96"/>
      <c r="H32" s="134"/>
      <c r="I32" s="274"/>
      <c r="J32" s="235"/>
      <c r="K32" s="134"/>
      <c r="L32" s="134"/>
      <c r="M32" s="274"/>
      <c r="N32" s="262">
        <f t="shared" si="2"/>
        <v>0</v>
      </c>
      <c r="O32" s="102">
        <f t="shared" si="6"/>
        <v>0</v>
      </c>
      <c r="P32" s="265">
        <f t="shared" si="2"/>
        <v>0</v>
      </c>
      <c r="Q32" s="274"/>
      <c r="R32" s="671"/>
      <c r="T32" s="1489"/>
      <c r="U32" s="1489"/>
    </row>
    <row r="33" spans="1:18" s="18" customFormat="1" ht="48" customHeight="1" thickBot="1" x14ac:dyDescent="0.3">
      <c r="A33" s="163" t="s">
        <v>467</v>
      </c>
      <c r="B33" s="104"/>
      <c r="C33" s="105"/>
      <c r="D33" s="271"/>
      <c r="E33" s="272"/>
      <c r="F33" s="254"/>
      <c r="G33" s="106"/>
      <c r="H33" s="137"/>
      <c r="I33" s="272"/>
      <c r="J33" s="254"/>
      <c r="K33" s="149"/>
      <c r="L33" s="149"/>
      <c r="M33" s="272"/>
      <c r="N33" s="261">
        <f t="shared" si="2"/>
        <v>0</v>
      </c>
      <c r="O33" s="102">
        <f t="shared" si="6"/>
        <v>0</v>
      </c>
      <c r="P33" s="264">
        <f t="shared" si="2"/>
        <v>0</v>
      </c>
      <c r="Q33" s="272"/>
      <c r="R33" s="671"/>
    </row>
    <row r="34" spans="1:18" s="24" customFormat="1" ht="30.75" thickBot="1" x14ac:dyDescent="0.3">
      <c r="A34" s="159" t="s">
        <v>70</v>
      </c>
      <c r="B34" s="273">
        <f>B8+B17+B20+B31+B30+B28+B29</f>
        <v>2796813115</v>
      </c>
      <c r="C34" s="161">
        <f>C8+C17+C20+C31+C30+C28+C29</f>
        <v>3035001465</v>
      </c>
      <c r="D34" s="162">
        <f>D8+D17+D20+D31+D30+D28+D29</f>
        <v>1642662578</v>
      </c>
      <c r="E34" s="156">
        <f t="shared" si="1"/>
        <v>54.123946790253029</v>
      </c>
      <c r="F34" s="160">
        <f>F8+F17+F20+F31+F30+F28+F29</f>
        <v>32000</v>
      </c>
      <c r="G34" s="161">
        <f>G8+G17+G20+G31+G30+G28+G29</f>
        <v>7206549</v>
      </c>
      <c r="H34" s="162">
        <f>H8+H17+H20+H31+H30+H28+H29</f>
        <v>10029523</v>
      </c>
      <c r="I34" s="156">
        <f>H34/G34*100</f>
        <v>139.17234171307237</v>
      </c>
      <c r="J34" s="160">
        <f>J8+J17+J20+J31+J30+J28+J29</f>
        <v>590000</v>
      </c>
      <c r="K34" s="162">
        <v>638800</v>
      </c>
      <c r="L34" s="162">
        <f>L8+L17+L20+L31+L30+L28+L29</f>
        <v>713902</v>
      </c>
      <c r="M34" s="156">
        <f>L34/K34*100</f>
        <v>111.75673137132122</v>
      </c>
      <c r="N34" s="325">
        <f t="shared" si="2"/>
        <v>2797435115</v>
      </c>
      <c r="O34" s="156">
        <f t="shared" si="6"/>
        <v>3042846814</v>
      </c>
      <c r="P34" s="325">
        <f t="shared" si="2"/>
        <v>1653406003</v>
      </c>
      <c r="Q34" s="156">
        <f t="shared" si="4"/>
        <v>54.33747092994475</v>
      </c>
      <c r="R34" s="618"/>
    </row>
    <row r="35" spans="1:18" s="24" customFormat="1" ht="15.75" thickBot="1" x14ac:dyDescent="0.3">
      <c r="A35" s="1490" t="s">
        <v>68</v>
      </c>
      <c r="B35" s="1491"/>
      <c r="C35" s="1491"/>
      <c r="D35" s="1491"/>
      <c r="E35" s="1491"/>
      <c r="F35" s="1491"/>
      <c r="G35" s="1491"/>
      <c r="H35" s="1491"/>
      <c r="I35" s="1491"/>
      <c r="J35" s="1491"/>
      <c r="K35" s="1491"/>
      <c r="L35" s="1491"/>
      <c r="M35" s="1491"/>
      <c r="N35" s="1491"/>
      <c r="O35" s="1491"/>
      <c r="P35" s="1491"/>
      <c r="Q35" s="1492"/>
      <c r="R35" s="618"/>
    </row>
    <row r="36" spans="1:18" ht="15.75" thickBot="1" x14ac:dyDescent="0.3">
      <c r="A36" s="277" t="s">
        <v>67</v>
      </c>
      <c r="B36" s="36">
        <f>B37</f>
        <v>302963808</v>
      </c>
      <c r="C36" s="36">
        <f>C37</f>
        <v>367071319</v>
      </c>
      <c r="D36" s="157">
        <f>D37</f>
        <v>1164274652</v>
      </c>
      <c r="E36" s="156">
        <f>D36/C36*100</f>
        <v>317.17941221117309</v>
      </c>
      <c r="F36" s="166">
        <f>F37</f>
        <v>136941604</v>
      </c>
      <c r="G36" s="36">
        <f>G37</f>
        <v>149504352</v>
      </c>
      <c r="H36" s="157">
        <f>H37</f>
        <v>135692313</v>
      </c>
      <c r="I36" s="326">
        <f>H36/G36*100</f>
        <v>90.761446864101998</v>
      </c>
      <c r="J36" s="328">
        <f>J37</f>
        <v>13338490</v>
      </c>
      <c r="K36" s="328">
        <f>K37</f>
        <v>13872494</v>
      </c>
      <c r="L36" s="328">
        <f>L37</f>
        <v>10438395</v>
      </c>
      <c r="M36" s="326">
        <f>L36/K36*100</f>
        <v>75.245265919740163</v>
      </c>
      <c r="N36" s="166">
        <f>F36+B36+J36</f>
        <v>453243902</v>
      </c>
      <c r="O36" s="36">
        <f>G36+C36+K36</f>
        <v>530448165</v>
      </c>
      <c r="P36" s="36">
        <f>H36+D36+L36</f>
        <v>1310405360</v>
      </c>
      <c r="Q36" s="156">
        <f t="shared" si="4"/>
        <v>247.0374009117366</v>
      </c>
    </row>
    <row r="37" spans="1:18" s="26" customFormat="1" ht="33" customHeight="1" thickBot="1" x14ac:dyDescent="0.3">
      <c r="A37" s="675" t="s">
        <v>61</v>
      </c>
      <c r="B37" s="676">
        <f>B38+B42+B45+B46</f>
        <v>302963808</v>
      </c>
      <c r="C37" s="676">
        <f>C38+C42+C45+C46</f>
        <v>367071319</v>
      </c>
      <c r="D37" s="676">
        <f>D38+D42+D45+D46</f>
        <v>1164274652</v>
      </c>
      <c r="E37" s="331">
        <f t="shared" ref="E37:E44" si="9">D37/C37*100</f>
        <v>317.17941221117309</v>
      </c>
      <c r="F37" s="676">
        <f>F38+F42+F46</f>
        <v>136941604</v>
      </c>
      <c r="G37" s="677">
        <f>G38+G42+G46</f>
        <v>149504352</v>
      </c>
      <c r="H37" s="678">
        <f>H38+H42+H46</f>
        <v>135692313</v>
      </c>
      <c r="I37" s="679">
        <f>H37/G37*100</f>
        <v>90.761446864101998</v>
      </c>
      <c r="J37" s="676">
        <f t="shared" ref="J37:L37" si="10">J38+J42+J46</f>
        <v>13338490</v>
      </c>
      <c r="K37" s="677">
        <f t="shared" si="10"/>
        <v>13872494</v>
      </c>
      <c r="L37" s="678">
        <f t="shared" si="10"/>
        <v>10438395</v>
      </c>
      <c r="M37" s="680">
        <f>L37/K37*100</f>
        <v>75.245265919740163</v>
      </c>
      <c r="N37" s="275">
        <f t="shared" ref="N37:P46" si="11">F37+B37+J37</f>
        <v>453243902</v>
      </c>
      <c r="O37" s="276">
        <f t="shared" si="11"/>
        <v>530448165</v>
      </c>
      <c r="P37" s="276">
        <f t="shared" si="11"/>
        <v>1310405360</v>
      </c>
      <c r="Q37" s="274">
        <f t="shared" si="4"/>
        <v>247.0374009117366</v>
      </c>
      <c r="R37" s="681"/>
    </row>
    <row r="38" spans="1:18" ht="33" customHeight="1" thickBot="1" x14ac:dyDescent="0.3">
      <c r="A38" s="682" t="s">
        <v>62</v>
      </c>
      <c r="B38" s="124">
        <f>B39+B40+B41</f>
        <v>98439274</v>
      </c>
      <c r="C38" s="124">
        <f>C39+C40+C41</f>
        <v>98439274</v>
      </c>
      <c r="D38" s="124">
        <f>D39+D40+D41</f>
        <v>48633958</v>
      </c>
      <c r="E38" s="332">
        <f t="shared" si="9"/>
        <v>49.405035230146048</v>
      </c>
      <c r="F38" s="683"/>
      <c r="G38" s="124"/>
      <c r="H38" s="269"/>
      <c r="I38" s="685"/>
      <c r="J38" s="686"/>
      <c r="K38" s="125"/>
      <c r="L38" s="266"/>
      <c r="M38" s="259"/>
      <c r="N38" s="166">
        <f t="shared" si="11"/>
        <v>98439274</v>
      </c>
      <c r="O38" s="36">
        <f>G38+C38+K38</f>
        <v>98439274</v>
      </c>
      <c r="P38" s="36">
        <f t="shared" si="11"/>
        <v>48633958</v>
      </c>
      <c r="Q38" s="259">
        <f t="shared" si="4"/>
        <v>49.405035230146048</v>
      </c>
    </row>
    <row r="39" spans="1:18" ht="33" customHeight="1" thickBot="1" x14ac:dyDescent="0.3">
      <c r="A39" s="682" t="s">
        <v>143</v>
      </c>
      <c r="B39" s="683">
        <v>98439274</v>
      </c>
      <c r="C39" s="124">
        <v>98439274</v>
      </c>
      <c r="D39" s="684">
        <v>48633958</v>
      </c>
      <c r="E39" s="332">
        <f t="shared" si="9"/>
        <v>49.405035230146048</v>
      </c>
      <c r="F39" s="683"/>
      <c r="G39" s="124"/>
      <c r="H39" s="269"/>
      <c r="I39" s="685"/>
      <c r="J39" s="686"/>
      <c r="K39" s="125"/>
      <c r="L39" s="266"/>
      <c r="M39" s="259"/>
      <c r="N39" s="166">
        <f t="shared" si="11"/>
        <v>98439274</v>
      </c>
      <c r="O39" s="36">
        <f t="shared" si="11"/>
        <v>98439274</v>
      </c>
      <c r="P39" s="36">
        <f t="shared" si="11"/>
        <v>48633958</v>
      </c>
      <c r="Q39" s="259">
        <f t="shared" si="4"/>
        <v>49.405035230146048</v>
      </c>
    </row>
    <row r="40" spans="1:18" ht="33" customHeight="1" thickBot="1" x14ac:dyDescent="0.3">
      <c r="A40" s="682" t="s">
        <v>468</v>
      </c>
      <c r="B40" s="683">
        <v>0</v>
      </c>
      <c r="C40" s="124">
        <v>0</v>
      </c>
      <c r="D40" s="684">
        <v>0</v>
      </c>
      <c r="E40" s="332"/>
      <c r="F40" s="683"/>
      <c r="G40" s="124"/>
      <c r="H40" s="269"/>
      <c r="I40" s="685"/>
      <c r="J40" s="686"/>
      <c r="K40" s="125"/>
      <c r="L40" s="266"/>
      <c r="M40" s="259"/>
      <c r="N40" s="166">
        <f t="shared" si="11"/>
        <v>0</v>
      </c>
      <c r="O40" s="36">
        <f t="shared" si="11"/>
        <v>0</v>
      </c>
      <c r="P40" s="36">
        <f t="shared" si="11"/>
        <v>0</v>
      </c>
      <c r="Q40" s="259"/>
    </row>
    <row r="41" spans="1:18" ht="33" customHeight="1" thickBot="1" x14ac:dyDescent="0.3">
      <c r="A41" s="682" t="s">
        <v>163</v>
      </c>
      <c r="B41" s="683">
        <v>0</v>
      </c>
      <c r="C41" s="124">
        <v>0</v>
      </c>
      <c r="D41" s="684">
        <v>0</v>
      </c>
      <c r="E41" s="332"/>
      <c r="F41" s="683"/>
      <c r="G41" s="124"/>
      <c r="H41" s="269"/>
      <c r="I41" s="685"/>
      <c r="J41" s="686"/>
      <c r="K41" s="125"/>
      <c r="L41" s="266"/>
      <c r="M41" s="259"/>
      <c r="N41" s="166">
        <f t="shared" si="11"/>
        <v>0</v>
      </c>
      <c r="O41" s="36">
        <f t="shared" si="11"/>
        <v>0</v>
      </c>
      <c r="P41" s="36">
        <f t="shared" si="11"/>
        <v>0</v>
      </c>
      <c r="Q41" s="259"/>
    </row>
    <row r="42" spans="1:18" s="26" customFormat="1" ht="15.75" thickBot="1" x14ac:dyDescent="0.3">
      <c r="A42" s="687" t="s">
        <v>63</v>
      </c>
      <c r="B42" s="688">
        <f t="shared" ref="B42:J42" si="12">SUM(B43:B44)</f>
        <v>194395928</v>
      </c>
      <c r="C42" s="167">
        <f t="shared" si="12"/>
        <v>205560726</v>
      </c>
      <c r="D42" s="167">
        <f t="shared" si="12"/>
        <v>1052470843</v>
      </c>
      <c r="E42" s="332">
        <f t="shared" si="9"/>
        <v>511.99996394252861</v>
      </c>
      <c r="F42" s="688">
        <f t="shared" si="12"/>
        <v>2223852</v>
      </c>
      <c r="G42" s="167">
        <f>SUM(G43:G44)</f>
        <v>2223852</v>
      </c>
      <c r="H42" s="167">
        <f>SUM(H43:H44)</f>
        <v>0</v>
      </c>
      <c r="I42" s="267"/>
      <c r="J42" s="688">
        <f t="shared" si="12"/>
        <v>0</v>
      </c>
      <c r="K42" s="167">
        <f>SUM(K43)</f>
        <v>0</v>
      </c>
      <c r="L42" s="167">
        <f>SUM(L43)</f>
        <v>11259</v>
      </c>
      <c r="M42" s="680"/>
      <c r="N42" s="166">
        <f t="shared" si="11"/>
        <v>196619780</v>
      </c>
      <c r="O42" s="36">
        <f>G42+C42+K42</f>
        <v>207784578</v>
      </c>
      <c r="P42" s="36">
        <f>H42+D42+L42</f>
        <v>1052482102</v>
      </c>
      <c r="Q42" s="259">
        <f>P42/O42*100</f>
        <v>506.52561038480928</v>
      </c>
      <c r="R42" s="681"/>
    </row>
    <row r="43" spans="1:18" s="77" customFormat="1" ht="15.75" thickBot="1" x14ac:dyDescent="0.3">
      <c r="A43" s="682" t="s">
        <v>65</v>
      </c>
      <c r="B43" s="683">
        <v>78253801</v>
      </c>
      <c r="C43" s="124">
        <f>205560726-116142127</f>
        <v>89418599</v>
      </c>
      <c r="D43" s="684">
        <v>89418599</v>
      </c>
      <c r="E43" s="332">
        <f t="shared" si="9"/>
        <v>100</v>
      </c>
      <c r="F43" s="689">
        <v>2223852</v>
      </c>
      <c r="G43" s="126">
        <v>2223852</v>
      </c>
      <c r="H43" s="270">
        <v>0</v>
      </c>
      <c r="I43" s="690"/>
      <c r="J43" s="691"/>
      <c r="K43" s="127"/>
      <c r="L43" s="268">
        <v>11259</v>
      </c>
      <c r="M43" s="259"/>
      <c r="N43" s="166">
        <f t="shared" si="11"/>
        <v>80477653</v>
      </c>
      <c r="O43" s="36">
        <f t="shared" si="11"/>
        <v>91642451</v>
      </c>
      <c r="P43" s="36">
        <f t="shared" si="11"/>
        <v>89429858</v>
      </c>
      <c r="Q43" s="259">
        <f>P43/O43*100</f>
        <v>97.585624374014174</v>
      </c>
      <c r="R43" s="692"/>
    </row>
    <row r="44" spans="1:18" ht="15.75" thickBot="1" x14ac:dyDescent="0.3">
      <c r="A44" s="693" t="s">
        <v>64</v>
      </c>
      <c r="B44" s="694">
        <v>116142127</v>
      </c>
      <c r="C44" s="121">
        <v>116142127</v>
      </c>
      <c r="D44" s="695">
        <f>1052470843-D43</f>
        <v>963052244</v>
      </c>
      <c r="E44" s="333">
        <f t="shared" si="9"/>
        <v>829.20148689889231</v>
      </c>
      <c r="F44" s="694"/>
      <c r="G44" s="121"/>
      <c r="H44" s="122"/>
      <c r="I44" s="685"/>
      <c r="J44" s="696"/>
      <c r="K44" s="125"/>
      <c r="L44" s="266"/>
      <c r="M44" s="259"/>
      <c r="N44" s="328">
        <f t="shared" si="11"/>
        <v>116142127</v>
      </c>
      <c r="O44" s="329">
        <f t="shared" si="11"/>
        <v>116142127</v>
      </c>
      <c r="P44" s="329">
        <f t="shared" si="11"/>
        <v>963052244</v>
      </c>
      <c r="Q44" s="259">
        <f>P44/O44*100</f>
        <v>829.20148689889231</v>
      </c>
    </row>
    <row r="45" spans="1:18" ht="30" thickBot="1" x14ac:dyDescent="0.3">
      <c r="A45" s="697" t="s">
        <v>449</v>
      </c>
      <c r="B45" s="683">
        <v>10128606</v>
      </c>
      <c r="C45" s="124">
        <v>63071319</v>
      </c>
      <c r="D45" s="684">
        <v>63169851</v>
      </c>
      <c r="E45" s="333"/>
      <c r="F45" s="698"/>
      <c r="G45" s="699"/>
      <c r="H45" s="700"/>
      <c r="I45" s="701"/>
      <c r="J45" s="702"/>
      <c r="K45" s="703"/>
      <c r="L45" s="704"/>
      <c r="M45" s="705"/>
      <c r="N45" s="328">
        <f t="shared" si="11"/>
        <v>10128606</v>
      </c>
      <c r="O45" s="329">
        <f t="shared" si="11"/>
        <v>63071319</v>
      </c>
      <c r="P45" s="329">
        <f t="shared" si="11"/>
        <v>63169851</v>
      </c>
      <c r="Q45" s="259"/>
    </row>
    <row r="46" spans="1:18" ht="33" customHeight="1" thickBot="1" x14ac:dyDescent="0.3">
      <c r="A46" s="706" t="s">
        <v>66</v>
      </c>
      <c r="B46" s="707"/>
      <c r="C46" s="708"/>
      <c r="D46" s="709"/>
      <c r="E46" s="330"/>
      <c r="F46" s="710">
        <v>134717752</v>
      </c>
      <c r="G46" s="708">
        <v>147280500</v>
      </c>
      <c r="H46" s="711">
        <v>135692313</v>
      </c>
      <c r="I46" s="712">
        <f>H46/G46*100</f>
        <v>92.131893224153913</v>
      </c>
      <c r="J46" s="713">
        <v>13338490</v>
      </c>
      <c r="K46" s="714">
        <v>13872494</v>
      </c>
      <c r="L46" s="715">
        <v>10427136</v>
      </c>
      <c r="M46" s="712">
        <f>L46/K46*100</f>
        <v>75.164105315165386</v>
      </c>
      <c r="N46" s="166">
        <f t="shared" si="11"/>
        <v>148056242</v>
      </c>
      <c r="O46" s="36">
        <f t="shared" si="11"/>
        <v>161152994</v>
      </c>
      <c r="P46" s="36">
        <f t="shared" si="11"/>
        <v>146119449</v>
      </c>
      <c r="Q46" s="156">
        <f t="shared" si="4"/>
        <v>90.671259263107444</v>
      </c>
    </row>
    <row r="47" spans="1:18" s="21" customFormat="1" ht="21.75" customHeight="1" x14ac:dyDescent="0.25">
      <c r="A47" s="37"/>
      <c r="B47" s="37"/>
      <c r="C47" s="37"/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9"/>
      <c r="O47" s="41"/>
      <c r="P47" s="41"/>
      <c r="Q47" s="40"/>
      <c r="R47" s="716"/>
    </row>
    <row r="48" spans="1:18" ht="15" x14ac:dyDescent="0.25">
      <c r="A48" s="37"/>
      <c r="B48" s="37"/>
      <c r="C48" s="37"/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41"/>
      <c r="O48" s="41"/>
      <c r="P48" s="41"/>
      <c r="Q48" s="40"/>
    </row>
    <row r="49" spans="1:17" s="574" customFormat="1" ht="12.75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 x14ac:dyDescent="0.25">
      <c r="A50" s="42"/>
      <c r="B50" s="42"/>
      <c r="C50" s="42"/>
      <c r="D50" s="42"/>
      <c r="E50" s="42"/>
      <c r="F50" s="40"/>
      <c r="G50" s="40"/>
      <c r="H50" s="40"/>
      <c r="I50" s="40"/>
      <c r="J50" s="40"/>
      <c r="K50" s="40"/>
      <c r="L50" s="40"/>
      <c r="M50" s="40"/>
      <c r="N50" s="41"/>
      <c r="O50" s="41"/>
      <c r="P50" s="41"/>
      <c r="Q50" s="40"/>
    </row>
    <row r="51" spans="1:17" x14ac:dyDescent="0.2">
      <c r="C51" s="43"/>
      <c r="N51" s="43"/>
      <c r="O51" s="43"/>
      <c r="P51" s="43"/>
    </row>
    <row r="52" spans="1:17" x14ac:dyDescent="0.2">
      <c r="Q52" s="45"/>
    </row>
  </sheetData>
  <mergeCells count="9">
    <mergeCell ref="T32:U32"/>
    <mergeCell ref="A35:Q35"/>
    <mergeCell ref="A3:Q3"/>
    <mergeCell ref="N5:Q5"/>
    <mergeCell ref="A6:A7"/>
    <mergeCell ref="B6:E6"/>
    <mergeCell ref="F6:I6"/>
    <mergeCell ref="J6:M6"/>
    <mergeCell ref="N6:Q6"/>
  </mergeCells>
  <pageMargins left="0.39370078740157483" right="0.19685039370078741" top="0.74803149606299213" bottom="0.39370078740157483" header="0.51181102362204722" footer="0.51181102362204722"/>
  <pageSetup paperSize="9" scale="34" orientation="landscape" r:id="rId1"/>
  <headerFooter alignWithMargins="0">
    <oddHeader>&amp;R1.sz. melléklet
..../2020.(VI.25.) Egyek Önk.r.</oddHead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7"/>
  <sheetViews>
    <sheetView topLeftCell="A336" zoomScale="110" zoomScaleNormal="110" zoomScaleSheetLayoutView="80" workbookViewId="0">
      <selection activeCell="B336" sqref="B336"/>
    </sheetView>
  </sheetViews>
  <sheetFormatPr defaultRowHeight="12.75" x14ac:dyDescent="0.2"/>
  <cols>
    <col min="1" max="1" width="30.7109375" style="24" customWidth="1"/>
    <col min="2" max="2" width="49" style="24" customWidth="1"/>
    <col min="3" max="3" width="19.140625" style="839" customWidth="1"/>
    <col min="4" max="4" width="17.28515625" style="839" customWidth="1"/>
    <col min="5" max="5" width="21" style="839" customWidth="1"/>
    <col min="6" max="6" width="14.5703125" style="839" customWidth="1"/>
    <col min="7" max="7" width="18" style="224" customWidth="1"/>
    <col min="8" max="8" width="17.5703125" style="224" customWidth="1"/>
    <col min="9" max="9" width="17.85546875" customWidth="1"/>
    <col min="10" max="10" width="16.7109375" customWidth="1"/>
    <col min="11" max="11" width="17.28515625" customWidth="1"/>
    <col min="12" max="12" width="14.42578125" customWidth="1"/>
  </cols>
  <sheetData>
    <row r="1" spans="1:11" ht="15.75" x14ac:dyDescent="0.25">
      <c r="A1" s="1547" t="s">
        <v>620</v>
      </c>
      <c r="B1" s="1547"/>
      <c r="C1" s="1547"/>
      <c r="D1" s="1547"/>
      <c r="E1" s="1547"/>
      <c r="F1" s="1547"/>
      <c r="G1" s="1243"/>
      <c r="H1" s="1244"/>
      <c r="I1" s="165"/>
      <c r="J1" s="165"/>
      <c r="K1" s="165"/>
    </row>
    <row r="2" spans="1:11" x14ac:dyDescent="0.2">
      <c r="E2" s="1552" t="s">
        <v>184</v>
      </c>
      <c r="F2" s="1552"/>
      <c r="G2" s="1245"/>
    </row>
    <row r="3" spans="1:11" ht="13.5" thickBot="1" x14ac:dyDescent="0.25">
      <c r="C3" s="24"/>
      <c r="G3" s="1111"/>
      <c r="K3" s="82"/>
    </row>
    <row r="4" spans="1:11" ht="13.5" thickBot="1" x14ac:dyDescent="0.25">
      <c r="A4" s="840" t="s">
        <v>73</v>
      </c>
      <c r="B4" s="841" t="s">
        <v>24</v>
      </c>
      <c r="C4" s="842" t="s">
        <v>155</v>
      </c>
      <c r="D4" s="842" t="s">
        <v>148</v>
      </c>
      <c r="E4" s="842" t="s">
        <v>149</v>
      </c>
      <c r="F4" s="1468" t="s">
        <v>150</v>
      </c>
      <c r="G4" s="1111"/>
      <c r="K4" s="1"/>
    </row>
    <row r="5" spans="1:11" x14ac:dyDescent="0.2">
      <c r="A5" s="1548" t="s">
        <v>481</v>
      </c>
      <c r="B5" s="843" t="s">
        <v>88</v>
      </c>
      <c r="C5" s="844">
        <v>30106444</v>
      </c>
      <c r="D5" s="844">
        <v>28908039</v>
      </c>
      <c r="E5" s="844">
        <v>27919256</v>
      </c>
      <c r="F5" s="1155">
        <f>E5/D5*100</f>
        <v>96.579556987590891</v>
      </c>
      <c r="G5" s="1111"/>
      <c r="K5" s="1"/>
    </row>
    <row r="6" spans="1:11" ht="25.5" x14ac:dyDescent="0.2">
      <c r="A6" s="1549"/>
      <c r="B6" s="846" t="s">
        <v>101</v>
      </c>
      <c r="C6" s="717">
        <v>5430800</v>
      </c>
      <c r="D6" s="717">
        <v>5122888</v>
      </c>
      <c r="E6" s="717">
        <v>5041820</v>
      </c>
      <c r="F6" s="857">
        <f t="shared" ref="F6:F13" si="0">E6/D6*100</f>
        <v>98.417533235159539</v>
      </c>
      <c r="G6" s="1111"/>
    </row>
    <row r="7" spans="1:11" x14ac:dyDescent="0.2">
      <c r="A7" s="1549"/>
      <c r="B7" s="846" t="s">
        <v>90</v>
      </c>
      <c r="C7" s="717">
        <v>12455000</v>
      </c>
      <c r="D7" s="717">
        <v>25919600</v>
      </c>
      <c r="E7" s="717">
        <v>64345584</v>
      </c>
      <c r="F7" s="857">
        <f t="shared" si="0"/>
        <v>248.25068288090867</v>
      </c>
      <c r="G7" s="1111"/>
    </row>
    <row r="8" spans="1:11" x14ac:dyDescent="0.2">
      <c r="A8" s="1549"/>
      <c r="B8" s="846" t="s">
        <v>102</v>
      </c>
      <c r="C8" s="717"/>
      <c r="D8" s="717"/>
      <c r="E8" s="717"/>
      <c r="F8" s="857"/>
      <c r="G8" s="1111"/>
    </row>
    <row r="9" spans="1:11" ht="25.5" x14ac:dyDescent="0.2">
      <c r="A9" s="1549"/>
      <c r="B9" s="846" t="s">
        <v>97</v>
      </c>
      <c r="C9" s="717">
        <v>2561169</v>
      </c>
      <c r="D9" s="717">
        <f>8711169-2017288</f>
        <v>6693881</v>
      </c>
      <c r="E9" s="717">
        <v>3716271</v>
      </c>
      <c r="F9" s="857">
        <f t="shared" si="0"/>
        <v>55.517434504736485</v>
      </c>
      <c r="G9" s="1111"/>
    </row>
    <row r="10" spans="1:11" x14ac:dyDescent="0.2">
      <c r="A10" s="1549"/>
      <c r="B10" s="846" t="s">
        <v>627</v>
      </c>
      <c r="C10" s="717">
        <v>10000000</v>
      </c>
      <c r="D10" s="717">
        <v>2017288</v>
      </c>
      <c r="E10" s="717"/>
      <c r="F10" s="857"/>
      <c r="G10" s="1111"/>
    </row>
    <row r="11" spans="1:11" x14ac:dyDescent="0.2">
      <c r="A11" s="1549"/>
      <c r="B11" s="846" t="s">
        <v>92</v>
      </c>
      <c r="C11" s="717">
        <v>4275000</v>
      </c>
      <c r="D11" s="717">
        <v>4345000</v>
      </c>
      <c r="E11" s="717">
        <v>1278498</v>
      </c>
      <c r="F11" s="857">
        <f t="shared" si="0"/>
        <v>29.424579976985036</v>
      </c>
      <c r="G11" s="1111"/>
    </row>
    <row r="12" spans="1:11" s="733" customFormat="1" x14ac:dyDescent="0.2">
      <c r="A12" s="1549"/>
      <c r="B12" s="846" t="s">
        <v>93</v>
      </c>
      <c r="C12" s="732"/>
      <c r="D12" s="732"/>
      <c r="E12" s="732"/>
      <c r="F12" s="857"/>
      <c r="G12" s="1246"/>
      <c r="H12" s="87"/>
    </row>
    <row r="13" spans="1:11" s="733" customFormat="1" x14ac:dyDescent="0.2">
      <c r="A13" s="1549"/>
      <c r="B13" s="846" t="s">
        <v>94</v>
      </c>
      <c r="C13" s="732"/>
      <c r="D13" s="732">
        <v>1153165</v>
      </c>
      <c r="E13" s="732">
        <v>1153165</v>
      </c>
      <c r="F13" s="857">
        <f t="shared" si="0"/>
        <v>100</v>
      </c>
      <c r="G13" s="1246"/>
      <c r="H13" s="87"/>
    </row>
    <row r="14" spans="1:11" s="733" customFormat="1" ht="13.5" thickBot="1" x14ac:dyDescent="0.25">
      <c r="A14" s="1549"/>
      <c r="B14" s="847" t="s">
        <v>103</v>
      </c>
      <c r="C14" s="734"/>
      <c r="D14" s="734"/>
      <c r="E14" s="734"/>
      <c r="F14" s="857"/>
      <c r="G14" s="1246"/>
      <c r="H14" s="87"/>
    </row>
    <row r="15" spans="1:11" s="733" customFormat="1" ht="13.5" thickBot="1" x14ac:dyDescent="0.25">
      <c r="A15" s="1549"/>
      <c r="B15" s="848" t="s">
        <v>14</v>
      </c>
      <c r="C15" s="740">
        <f>SUM(C5:C14)</f>
        <v>64828413</v>
      </c>
      <c r="D15" s="740">
        <f>SUM(D5:D14)</f>
        <v>74159861</v>
      </c>
      <c r="E15" s="740">
        <f>SUM(E5:E14)</f>
        <v>103454594</v>
      </c>
      <c r="F15" s="849">
        <f>E15/D15*100</f>
        <v>139.50214119198526</v>
      </c>
      <c r="G15" s="1246"/>
      <c r="H15" s="87"/>
    </row>
    <row r="16" spans="1:11" ht="13.15" customHeight="1" x14ac:dyDescent="0.2">
      <c r="A16" s="1550" t="s">
        <v>482</v>
      </c>
      <c r="B16" s="843" t="s">
        <v>88</v>
      </c>
      <c r="C16" s="844"/>
      <c r="D16" s="844"/>
      <c r="E16" s="844"/>
      <c r="F16" s="857"/>
      <c r="G16" s="1111"/>
    </row>
    <row r="17" spans="1:8" ht="25.5" x14ac:dyDescent="0.2">
      <c r="A17" s="1551"/>
      <c r="B17" s="846" t="s">
        <v>101</v>
      </c>
      <c r="C17" s="717"/>
      <c r="D17" s="717"/>
      <c r="E17" s="717"/>
      <c r="F17" s="857"/>
      <c r="G17" s="1111"/>
    </row>
    <row r="18" spans="1:8" x14ac:dyDescent="0.2">
      <c r="A18" s="1551"/>
      <c r="B18" s="846" t="s">
        <v>90</v>
      </c>
      <c r="C18" s="717">
        <v>244000</v>
      </c>
      <c r="D18" s="717">
        <v>1261999</v>
      </c>
      <c r="E18" s="717">
        <v>570515</v>
      </c>
      <c r="F18" s="857">
        <f>E18/D18*100</f>
        <v>45.207246598452137</v>
      </c>
      <c r="G18" s="1111"/>
    </row>
    <row r="19" spans="1:8" x14ac:dyDescent="0.2">
      <c r="A19" s="1551"/>
      <c r="B19" s="846" t="s">
        <v>102</v>
      </c>
      <c r="C19" s="717"/>
      <c r="D19" s="717"/>
      <c r="E19" s="717"/>
      <c r="F19" s="857"/>
      <c r="G19" s="1111"/>
    </row>
    <row r="20" spans="1:8" ht="25.5" x14ac:dyDescent="0.2">
      <c r="A20" s="1551"/>
      <c r="B20" s="846" t="s">
        <v>97</v>
      </c>
      <c r="C20" s="717"/>
      <c r="D20" s="717">
        <v>5000000</v>
      </c>
      <c r="E20" s="717">
        <v>5000000</v>
      </c>
      <c r="F20" s="857">
        <f t="shared" ref="F20:F26" si="1">E20/D20*100</f>
        <v>100</v>
      </c>
      <c r="G20" s="1111"/>
    </row>
    <row r="21" spans="1:8" x14ac:dyDescent="0.2">
      <c r="A21" s="1551"/>
      <c r="B21" s="846" t="s">
        <v>627</v>
      </c>
      <c r="C21" s="717">
        <v>1764706</v>
      </c>
      <c r="D21" s="717">
        <v>1693514</v>
      </c>
      <c r="E21" s="717"/>
      <c r="F21" s="857"/>
      <c r="G21" s="1111"/>
    </row>
    <row r="22" spans="1:8" x14ac:dyDescent="0.2">
      <c r="A22" s="1551"/>
      <c r="B22" s="846" t="s">
        <v>92</v>
      </c>
      <c r="C22" s="717">
        <v>2805000</v>
      </c>
      <c r="D22" s="717">
        <v>2487500</v>
      </c>
      <c r="E22" s="717">
        <v>1591310</v>
      </c>
      <c r="F22" s="857">
        <f t="shared" si="1"/>
        <v>63.972261306532666</v>
      </c>
      <c r="G22" s="1111"/>
    </row>
    <row r="23" spans="1:8" s="733" customFormat="1" x14ac:dyDescent="0.2">
      <c r="A23" s="1551"/>
      <c r="B23" s="846" t="s">
        <v>93</v>
      </c>
      <c r="C23" s="732"/>
      <c r="D23" s="732"/>
      <c r="E23" s="732"/>
      <c r="F23" s="857"/>
      <c r="G23" s="1246"/>
      <c r="H23" s="87"/>
    </row>
    <row r="24" spans="1:8" s="733" customFormat="1" x14ac:dyDescent="0.2">
      <c r="A24" s="1551"/>
      <c r="B24" s="846" t="s">
        <v>94</v>
      </c>
      <c r="C24" s="732"/>
      <c r="D24" s="732"/>
      <c r="E24" s="732"/>
      <c r="F24" s="857"/>
      <c r="G24" s="1246"/>
      <c r="H24" s="87"/>
    </row>
    <row r="25" spans="1:8" s="733" customFormat="1" ht="13.5" thickBot="1" x14ac:dyDescent="0.25">
      <c r="A25" s="1551"/>
      <c r="B25" s="847" t="s">
        <v>103</v>
      </c>
      <c r="C25" s="734"/>
      <c r="D25" s="734"/>
      <c r="E25" s="734"/>
      <c r="F25" s="858"/>
      <c r="G25" s="1246"/>
      <c r="H25" s="87"/>
    </row>
    <row r="26" spans="1:8" s="733" customFormat="1" ht="13.5" thickBot="1" x14ac:dyDescent="0.25">
      <c r="A26" s="1551"/>
      <c r="B26" s="848" t="s">
        <v>14</v>
      </c>
      <c r="C26" s="740">
        <f>SUM(C16:C25)</f>
        <v>4813706</v>
      </c>
      <c r="D26" s="740">
        <f>SUM(D16:D25)</f>
        <v>10443013</v>
      </c>
      <c r="E26" s="740">
        <f>SUM(E16:E25)</f>
        <v>7161825</v>
      </c>
      <c r="F26" s="984">
        <f t="shared" si="1"/>
        <v>68.580064010262177</v>
      </c>
      <c r="G26" s="1246"/>
      <c r="H26" s="87"/>
    </row>
    <row r="27" spans="1:8" s="733" customFormat="1" ht="13.15" customHeight="1" x14ac:dyDescent="0.2">
      <c r="A27" s="1550" t="s">
        <v>74</v>
      </c>
      <c r="B27" s="850" t="s">
        <v>88</v>
      </c>
      <c r="C27" s="844"/>
      <c r="D27" s="844"/>
      <c r="E27" s="844"/>
      <c r="F27" s="851"/>
      <c r="G27" s="1246"/>
      <c r="H27" s="87"/>
    </row>
    <row r="28" spans="1:8" s="733" customFormat="1" ht="25.5" x14ac:dyDescent="0.2">
      <c r="A28" s="1551"/>
      <c r="B28" s="852" t="s">
        <v>101</v>
      </c>
      <c r="C28" s="717"/>
      <c r="D28" s="717"/>
      <c r="E28" s="717"/>
      <c r="F28" s="845"/>
      <c r="G28" s="1246"/>
      <c r="H28" s="87"/>
    </row>
    <row r="29" spans="1:8" s="733" customFormat="1" x14ac:dyDescent="0.2">
      <c r="A29" s="1551"/>
      <c r="B29" s="852" t="s">
        <v>90</v>
      </c>
      <c r="C29" s="717">
        <v>57964655</v>
      </c>
      <c r="D29" s="717">
        <v>68332887</v>
      </c>
      <c r="E29" s="717">
        <v>14152145</v>
      </c>
      <c r="F29" s="857">
        <f>E29/D29*100</f>
        <v>20.710591373082188</v>
      </c>
      <c r="G29" s="1246"/>
      <c r="H29" s="87"/>
    </row>
    <row r="30" spans="1:8" s="733" customFormat="1" x14ac:dyDescent="0.2">
      <c r="A30" s="1551"/>
      <c r="B30" s="852" t="s">
        <v>102</v>
      </c>
      <c r="C30" s="717"/>
      <c r="D30" s="717"/>
      <c r="E30" s="717"/>
      <c r="F30" s="845"/>
      <c r="G30" s="1246"/>
      <c r="H30" s="87"/>
    </row>
    <row r="31" spans="1:8" s="733" customFormat="1" ht="25.5" x14ac:dyDescent="0.2">
      <c r="A31" s="1551"/>
      <c r="B31" s="852" t="s">
        <v>97</v>
      </c>
      <c r="C31" s="717">
        <v>4389508</v>
      </c>
      <c r="D31" s="717">
        <v>23000</v>
      </c>
      <c r="E31" s="717"/>
      <c r="F31" s="857">
        <f>E31/D31*100</f>
        <v>0</v>
      </c>
      <c r="G31" s="1246"/>
      <c r="H31" s="87"/>
    </row>
    <row r="32" spans="1:8" s="733" customFormat="1" x14ac:dyDescent="0.2">
      <c r="A32" s="1551"/>
      <c r="B32" s="852" t="s">
        <v>628</v>
      </c>
      <c r="C32" s="717"/>
      <c r="D32" s="717"/>
      <c r="E32" s="717"/>
      <c r="F32" s="845"/>
      <c r="G32" s="1246"/>
      <c r="H32" s="87"/>
    </row>
    <row r="33" spans="1:8" s="733" customFormat="1" x14ac:dyDescent="0.2">
      <c r="A33" s="1551"/>
      <c r="B33" s="852" t="s">
        <v>92</v>
      </c>
      <c r="C33" s="717">
        <v>73655829</v>
      </c>
      <c r="D33" s="717">
        <v>64684255</v>
      </c>
      <c r="E33" s="717">
        <v>27126201</v>
      </c>
      <c r="F33" s="857">
        <f>E33/D33*100</f>
        <v>41.936327472582008</v>
      </c>
      <c r="G33" s="1246"/>
      <c r="H33" s="87"/>
    </row>
    <row r="34" spans="1:8" s="733" customFormat="1" x14ac:dyDescent="0.2">
      <c r="A34" s="1551"/>
      <c r="B34" s="852" t="s">
        <v>93</v>
      </c>
      <c r="C34" s="732"/>
      <c r="D34" s="738">
        <v>8744574</v>
      </c>
      <c r="E34" s="732">
        <v>9822980</v>
      </c>
      <c r="F34" s="857">
        <f>E34/D34*100</f>
        <v>112.33228742760939</v>
      </c>
      <c r="G34" s="1246"/>
      <c r="H34" s="87"/>
    </row>
    <row r="35" spans="1:8" s="733" customFormat="1" x14ac:dyDescent="0.2">
      <c r="A35" s="1551"/>
      <c r="B35" s="852" t="s">
        <v>94</v>
      </c>
      <c r="C35" s="732"/>
      <c r="D35" s="738">
        <v>54000</v>
      </c>
      <c r="E35" s="732">
        <v>54000</v>
      </c>
      <c r="F35" s="857">
        <f>E35/D35*100</f>
        <v>100</v>
      </c>
      <c r="G35" s="1246"/>
      <c r="H35" s="87"/>
    </row>
    <row r="36" spans="1:8" s="733" customFormat="1" ht="13.5" thickBot="1" x14ac:dyDescent="0.25">
      <c r="A36" s="1551"/>
      <c r="B36" s="853" t="s">
        <v>103</v>
      </c>
      <c r="C36" s="734"/>
      <c r="D36" s="739"/>
      <c r="E36" s="734"/>
      <c r="F36" s="858"/>
      <c r="G36" s="1246"/>
      <c r="H36" s="87"/>
    </row>
    <row r="37" spans="1:8" s="733" customFormat="1" ht="13.5" thickBot="1" x14ac:dyDescent="0.25">
      <c r="A37" s="1551"/>
      <c r="B37" s="848" t="s">
        <v>14</v>
      </c>
      <c r="C37" s="740">
        <f>SUM(C27:C36)</f>
        <v>136009992</v>
      </c>
      <c r="D37" s="740">
        <f>SUM(D27:D36)</f>
        <v>141838716</v>
      </c>
      <c r="E37" s="740">
        <f>SUM(E27:E36)</f>
        <v>51155326</v>
      </c>
      <c r="F37" s="849">
        <f>E37/D37*100</f>
        <v>36.065841148759418</v>
      </c>
      <c r="G37" s="1246"/>
      <c r="H37" s="87"/>
    </row>
    <row r="38" spans="1:8" ht="17.25" customHeight="1" x14ac:dyDescent="0.2">
      <c r="A38" s="1550" t="s">
        <v>75</v>
      </c>
      <c r="B38" s="850" t="s">
        <v>88</v>
      </c>
      <c r="C38" s="855"/>
      <c r="D38" s="855"/>
      <c r="E38" s="855"/>
      <c r="F38" s="851"/>
      <c r="G38" s="1111"/>
    </row>
    <row r="39" spans="1:8" ht="25.5" x14ac:dyDescent="0.2">
      <c r="A39" s="1551"/>
      <c r="B39" s="852" t="s">
        <v>101</v>
      </c>
      <c r="C39" s="738"/>
      <c r="D39" s="738"/>
      <c r="E39" s="738"/>
      <c r="F39" s="845"/>
      <c r="G39" s="1111"/>
    </row>
    <row r="40" spans="1:8" ht="17.25" customHeight="1" x14ac:dyDescent="0.2">
      <c r="A40" s="1551"/>
      <c r="B40" s="852" t="s">
        <v>90</v>
      </c>
      <c r="C40" s="738"/>
      <c r="D40" s="738"/>
      <c r="E40" s="738"/>
      <c r="F40" s="845"/>
      <c r="G40" s="1111"/>
    </row>
    <row r="41" spans="1:8" ht="17.25" customHeight="1" x14ac:dyDescent="0.2">
      <c r="A41" s="1551"/>
      <c r="B41" s="852" t="s">
        <v>102</v>
      </c>
      <c r="C41" s="738"/>
      <c r="D41" s="738"/>
      <c r="E41" s="738"/>
      <c r="F41" s="845"/>
      <c r="G41" s="1111"/>
    </row>
    <row r="42" spans="1:8" ht="21.75" customHeight="1" x14ac:dyDescent="0.2">
      <c r="A42" s="1551"/>
      <c r="B42" s="852" t="s">
        <v>97</v>
      </c>
      <c r="C42" s="738">
        <v>565446</v>
      </c>
      <c r="D42" s="738">
        <v>565446</v>
      </c>
      <c r="E42" s="738">
        <v>555503</v>
      </c>
      <c r="F42" s="857">
        <f>E42/D42*100</f>
        <v>98.241565065452761</v>
      </c>
      <c r="G42" s="1111"/>
    </row>
    <row r="43" spans="1:8" ht="17.25" customHeight="1" x14ac:dyDescent="0.2">
      <c r="A43" s="1551"/>
      <c r="B43" s="852" t="s">
        <v>627</v>
      </c>
      <c r="C43" s="738"/>
      <c r="D43" s="738"/>
      <c r="E43" s="738"/>
      <c r="F43" s="845"/>
      <c r="G43" s="1111"/>
    </row>
    <row r="44" spans="1:8" x14ac:dyDescent="0.2">
      <c r="A44" s="1551"/>
      <c r="B44" s="852" t="s">
        <v>92</v>
      </c>
      <c r="C44" s="738"/>
      <c r="D44" s="738"/>
      <c r="E44" s="738"/>
      <c r="F44" s="845"/>
      <c r="G44" s="1111"/>
    </row>
    <row r="45" spans="1:8" x14ac:dyDescent="0.2">
      <c r="A45" s="1551"/>
      <c r="B45" s="852" t="s">
        <v>93</v>
      </c>
      <c r="C45" s="732"/>
      <c r="D45" s="732"/>
      <c r="E45" s="732"/>
      <c r="F45" s="845"/>
      <c r="G45" s="1111"/>
    </row>
    <row r="46" spans="1:8" x14ac:dyDescent="0.2">
      <c r="A46" s="1551"/>
      <c r="B46" s="852" t="s">
        <v>94</v>
      </c>
      <c r="C46" s="732"/>
      <c r="D46" s="732"/>
      <c r="E46" s="732"/>
      <c r="F46" s="845"/>
      <c r="G46" s="1111"/>
    </row>
    <row r="47" spans="1:8" ht="13.5" thickBot="1" x14ac:dyDescent="0.25">
      <c r="A47" s="1551"/>
      <c r="B47" s="853" t="s">
        <v>103</v>
      </c>
      <c r="C47" s="734">
        <v>10128606</v>
      </c>
      <c r="D47" s="734">
        <v>62944621</v>
      </c>
      <c r="E47" s="734">
        <v>62944621</v>
      </c>
      <c r="F47" s="857">
        <v>100</v>
      </c>
      <c r="G47" s="1111"/>
    </row>
    <row r="48" spans="1:8" ht="13.5" thickBot="1" x14ac:dyDescent="0.25">
      <c r="A48" s="1551"/>
      <c r="B48" s="848" t="s">
        <v>14</v>
      </c>
      <c r="C48" s="740">
        <f>SUM(C38:C47)</f>
        <v>10694052</v>
      </c>
      <c r="D48" s="740">
        <f>SUM(D38:D47)</f>
        <v>63510067</v>
      </c>
      <c r="E48" s="740">
        <f>SUM(E38:E47)</f>
        <v>63500124</v>
      </c>
      <c r="F48" s="849">
        <f>E48/D48*100</f>
        <v>99.984344214280227</v>
      </c>
      <c r="G48" s="1111"/>
    </row>
    <row r="49" spans="1:7" ht="17.25" customHeight="1" x14ac:dyDescent="0.2">
      <c r="A49" s="1550" t="s">
        <v>361</v>
      </c>
      <c r="B49" s="850" t="s">
        <v>88</v>
      </c>
      <c r="C49" s="844"/>
      <c r="D49" s="844"/>
      <c r="E49" s="844"/>
      <c r="F49" s="856"/>
      <c r="G49" s="1111"/>
    </row>
    <row r="50" spans="1:7" ht="25.5" x14ac:dyDescent="0.2">
      <c r="A50" s="1551"/>
      <c r="B50" s="852" t="s">
        <v>101</v>
      </c>
      <c r="C50" s="717"/>
      <c r="D50" s="717"/>
      <c r="E50" s="717"/>
      <c r="F50" s="857"/>
      <c r="G50" s="1111"/>
    </row>
    <row r="51" spans="1:7" ht="17.25" customHeight="1" x14ac:dyDescent="0.2">
      <c r="A51" s="1551"/>
      <c r="B51" s="852" t="s">
        <v>90</v>
      </c>
      <c r="C51" s="717"/>
      <c r="D51" s="717"/>
      <c r="E51" s="717"/>
      <c r="F51" s="857"/>
      <c r="G51" s="1111"/>
    </row>
    <row r="52" spans="1:7" ht="17.25" customHeight="1" x14ac:dyDescent="0.2">
      <c r="A52" s="1551"/>
      <c r="B52" s="852" t="s">
        <v>102</v>
      </c>
      <c r="C52" s="717"/>
      <c r="D52" s="717"/>
      <c r="E52" s="717"/>
      <c r="F52" s="857"/>
      <c r="G52" s="1111"/>
    </row>
    <row r="53" spans="1:7" ht="28.5" customHeight="1" x14ac:dyDescent="0.2">
      <c r="A53" s="1551"/>
      <c r="B53" s="852" t="s">
        <v>97</v>
      </c>
      <c r="C53" s="717">
        <v>23756000</v>
      </c>
      <c r="D53" s="717">
        <v>34278016</v>
      </c>
      <c r="E53" s="717">
        <v>34142704</v>
      </c>
      <c r="F53" s="857">
        <f>E53/D53*100</f>
        <v>99.605251365773327</v>
      </c>
      <c r="G53" s="1111"/>
    </row>
    <row r="54" spans="1:7" ht="17.25" customHeight="1" x14ac:dyDescent="0.2">
      <c r="A54" s="1551"/>
      <c r="B54" s="852" t="s">
        <v>627</v>
      </c>
      <c r="C54" s="717"/>
      <c r="D54" s="717"/>
      <c r="E54" s="717"/>
      <c r="F54" s="857"/>
      <c r="G54" s="1111"/>
    </row>
    <row r="55" spans="1:7" x14ac:dyDescent="0.2">
      <c r="A55" s="1551"/>
      <c r="B55" s="852" t="s">
        <v>92</v>
      </c>
      <c r="C55" s="717"/>
      <c r="D55" s="717"/>
      <c r="E55" s="717"/>
      <c r="F55" s="857"/>
      <c r="G55" s="1111"/>
    </row>
    <row r="56" spans="1:7" x14ac:dyDescent="0.2">
      <c r="A56" s="1551"/>
      <c r="B56" s="852" t="s">
        <v>93</v>
      </c>
      <c r="C56" s="732"/>
      <c r="D56" s="732"/>
      <c r="E56" s="732"/>
      <c r="F56" s="857"/>
      <c r="G56" s="1111"/>
    </row>
    <row r="57" spans="1:7" x14ac:dyDescent="0.2">
      <c r="A57" s="1551"/>
      <c r="B57" s="852" t="s">
        <v>94</v>
      </c>
      <c r="C57" s="732"/>
      <c r="D57" s="732"/>
      <c r="E57" s="732"/>
      <c r="F57" s="857"/>
      <c r="G57" s="1111"/>
    </row>
    <row r="58" spans="1:7" ht="13.5" thickBot="1" x14ac:dyDescent="0.25">
      <c r="A58" s="1551"/>
      <c r="B58" s="853" t="s">
        <v>103</v>
      </c>
      <c r="C58" s="734">
        <v>148056242</v>
      </c>
      <c r="D58" s="734">
        <v>161152994</v>
      </c>
      <c r="E58" s="734">
        <v>146119449</v>
      </c>
      <c r="F58" s="857">
        <f>E58/D58*100</f>
        <v>90.671259263107444</v>
      </c>
      <c r="G58" s="1111"/>
    </row>
    <row r="59" spans="1:7" ht="13.5" thickBot="1" x14ac:dyDescent="0.25">
      <c r="A59" s="1551"/>
      <c r="B59" s="848" t="s">
        <v>14</v>
      </c>
      <c r="C59" s="740">
        <f>SUM(C49:C58)</f>
        <v>171812242</v>
      </c>
      <c r="D59" s="740">
        <f>SUM(D49:D58)</f>
        <v>195431010</v>
      </c>
      <c r="E59" s="740">
        <f>SUM(E49:E58)</f>
        <v>180262153</v>
      </c>
      <c r="F59" s="849">
        <f>E59/D59*100</f>
        <v>92.238254819437302</v>
      </c>
      <c r="G59" s="1111"/>
    </row>
    <row r="60" spans="1:7" ht="17.25" customHeight="1" x14ac:dyDescent="0.2">
      <c r="A60" s="1550" t="s">
        <v>105</v>
      </c>
      <c r="B60" s="850" t="s">
        <v>88</v>
      </c>
      <c r="C60" s="844"/>
      <c r="D60" s="844"/>
      <c r="E60" s="844"/>
      <c r="F60" s="856"/>
      <c r="G60" s="1111"/>
    </row>
    <row r="61" spans="1:7" ht="25.5" x14ac:dyDescent="0.2">
      <c r="A61" s="1551"/>
      <c r="B61" s="852" t="s">
        <v>101</v>
      </c>
      <c r="C61" s="717"/>
      <c r="D61" s="717"/>
      <c r="E61" s="717"/>
      <c r="F61" s="857"/>
      <c r="G61" s="1111"/>
    </row>
    <row r="62" spans="1:7" ht="17.25" customHeight="1" x14ac:dyDescent="0.2">
      <c r="A62" s="1551"/>
      <c r="B62" s="852" t="s">
        <v>90</v>
      </c>
      <c r="C62" s="717"/>
      <c r="D62" s="717"/>
      <c r="E62" s="717"/>
      <c r="F62" s="857"/>
      <c r="G62" s="1111"/>
    </row>
    <row r="63" spans="1:7" ht="17.25" customHeight="1" x14ac:dyDescent="0.2">
      <c r="A63" s="1551"/>
      <c r="B63" s="852" t="s">
        <v>102</v>
      </c>
      <c r="C63" s="717"/>
      <c r="D63" s="717"/>
      <c r="E63" s="717"/>
      <c r="F63" s="857"/>
      <c r="G63" s="1111"/>
    </row>
    <row r="64" spans="1:7" ht="29.25" customHeight="1" x14ac:dyDescent="0.2">
      <c r="A64" s="1551"/>
      <c r="B64" s="852" t="s">
        <v>97</v>
      </c>
      <c r="C64" s="717">
        <v>10622443</v>
      </c>
      <c r="D64" s="717">
        <v>25825425</v>
      </c>
      <c r="E64" s="717">
        <v>25687725</v>
      </c>
      <c r="F64" s="857">
        <f>E64/D64*100</f>
        <v>99.466804515317747</v>
      </c>
      <c r="G64" s="1111"/>
    </row>
    <row r="65" spans="1:7" ht="17.25" customHeight="1" x14ac:dyDescent="0.2">
      <c r="A65" s="1551"/>
      <c r="B65" s="852" t="s">
        <v>627</v>
      </c>
      <c r="C65" s="717"/>
      <c r="D65" s="717"/>
      <c r="E65" s="717"/>
      <c r="F65" s="857"/>
      <c r="G65" s="1111"/>
    </row>
    <row r="66" spans="1:7" x14ac:dyDescent="0.2">
      <c r="A66" s="1551"/>
      <c r="B66" s="852" t="s">
        <v>92</v>
      </c>
      <c r="C66" s="717"/>
      <c r="D66" s="717"/>
      <c r="E66" s="717"/>
      <c r="F66" s="857"/>
      <c r="G66" s="1111"/>
    </row>
    <row r="67" spans="1:7" x14ac:dyDescent="0.2">
      <c r="A67" s="1551"/>
      <c r="B67" s="852" t="s">
        <v>93</v>
      </c>
      <c r="C67" s="732"/>
      <c r="D67" s="732"/>
      <c r="E67" s="732"/>
      <c r="F67" s="857"/>
      <c r="G67" s="1111"/>
    </row>
    <row r="68" spans="1:7" x14ac:dyDescent="0.2">
      <c r="A68" s="1551"/>
      <c r="B68" s="852" t="s">
        <v>94</v>
      </c>
      <c r="C68" s="732"/>
      <c r="D68" s="732"/>
      <c r="E68" s="732"/>
      <c r="F68" s="857"/>
      <c r="G68" s="1111"/>
    </row>
    <row r="69" spans="1:7" ht="13.5" thickBot="1" x14ac:dyDescent="0.25">
      <c r="A69" s="1551"/>
      <c r="B69" s="853" t="s">
        <v>103</v>
      </c>
      <c r="C69" s="734"/>
      <c r="D69" s="734"/>
      <c r="E69" s="734"/>
      <c r="F69" s="858"/>
      <c r="G69" s="1111"/>
    </row>
    <row r="70" spans="1:7" ht="13.5" thickBot="1" x14ac:dyDescent="0.25">
      <c r="A70" s="1551"/>
      <c r="B70" s="848" t="s">
        <v>14</v>
      </c>
      <c r="C70" s="740">
        <f>SUM(C60:C69)</f>
        <v>10622443</v>
      </c>
      <c r="D70" s="1152">
        <f>SUM(D60:D69)</f>
        <v>25825425</v>
      </c>
      <c r="E70" s="740">
        <f>SUM(E60:E69)</f>
        <v>25687725</v>
      </c>
      <c r="F70" s="849">
        <f>E70/D70*100</f>
        <v>99.466804515317747</v>
      </c>
      <c r="G70" s="1111"/>
    </row>
    <row r="71" spans="1:7" ht="17.25" customHeight="1" x14ac:dyDescent="0.2">
      <c r="A71" s="1550" t="s">
        <v>474</v>
      </c>
      <c r="B71" s="850" t="s">
        <v>88</v>
      </c>
      <c r="C71" s="844"/>
      <c r="D71" s="844">
        <v>68873965</v>
      </c>
      <c r="E71" s="844">
        <v>74234620</v>
      </c>
      <c r="F71" s="857">
        <f t="shared" ref="F71:F72" si="2">E71/D71*100</f>
        <v>107.78328211538279</v>
      </c>
      <c r="G71" s="1111"/>
    </row>
    <row r="72" spans="1:7" ht="25.5" x14ac:dyDescent="0.2">
      <c r="A72" s="1551"/>
      <c r="B72" s="852" t="s">
        <v>101</v>
      </c>
      <c r="C72" s="717"/>
      <c r="D72" s="717">
        <v>4953895</v>
      </c>
      <c r="E72" s="717">
        <v>6935289</v>
      </c>
      <c r="F72" s="857">
        <f t="shared" si="2"/>
        <v>139.99668947363639</v>
      </c>
      <c r="G72" s="1111"/>
    </row>
    <row r="73" spans="1:7" ht="17.25" customHeight="1" x14ac:dyDescent="0.2">
      <c r="A73" s="1551"/>
      <c r="B73" s="852" t="s">
        <v>90</v>
      </c>
      <c r="C73" s="717"/>
      <c r="D73" s="717"/>
      <c r="E73" s="717"/>
      <c r="F73" s="857"/>
      <c r="G73" s="1111"/>
    </row>
    <row r="74" spans="1:7" ht="17.25" customHeight="1" x14ac:dyDescent="0.2">
      <c r="A74" s="1551"/>
      <c r="B74" s="852" t="s">
        <v>102</v>
      </c>
      <c r="C74" s="717"/>
      <c r="D74" s="717"/>
      <c r="E74" s="717"/>
      <c r="F74" s="857"/>
      <c r="G74" s="1111"/>
    </row>
    <row r="75" spans="1:7" ht="22.5" customHeight="1" x14ac:dyDescent="0.2">
      <c r="A75" s="1551"/>
      <c r="B75" s="852" t="s">
        <v>97</v>
      </c>
      <c r="C75" s="717"/>
      <c r="D75" s="717"/>
      <c r="E75" s="717"/>
      <c r="F75" s="857"/>
      <c r="G75" s="1111"/>
    </row>
    <row r="76" spans="1:7" ht="17.25" customHeight="1" x14ac:dyDescent="0.2">
      <c r="A76" s="1551"/>
      <c r="B76" s="852" t="s">
        <v>627</v>
      </c>
      <c r="C76" s="717"/>
      <c r="D76" s="717"/>
      <c r="E76" s="717"/>
      <c r="F76" s="857"/>
      <c r="G76" s="1111"/>
    </row>
    <row r="77" spans="1:7" x14ac:dyDescent="0.2">
      <c r="A77" s="1551"/>
      <c r="B77" s="852" t="s">
        <v>92</v>
      </c>
      <c r="C77" s="717"/>
      <c r="D77" s="717"/>
      <c r="E77" s="717"/>
      <c r="F77" s="857"/>
      <c r="G77" s="1111"/>
    </row>
    <row r="78" spans="1:7" x14ac:dyDescent="0.2">
      <c r="A78" s="1551"/>
      <c r="B78" s="852" t="s">
        <v>93</v>
      </c>
      <c r="C78" s="732"/>
      <c r="D78" s="735"/>
      <c r="E78" s="735"/>
      <c r="F78" s="857"/>
      <c r="G78" s="1111"/>
    </row>
    <row r="79" spans="1:7" x14ac:dyDescent="0.2">
      <c r="A79" s="1551"/>
      <c r="B79" s="852" t="s">
        <v>94</v>
      </c>
      <c r="C79" s="732"/>
      <c r="D79" s="738"/>
      <c r="E79" s="732"/>
      <c r="F79" s="857"/>
      <c r="G79" s="1111"/>
    </row>
    <row r="80" spans="1:7" ht="13.5" thickBot="1" x14ac:dyDescent="0.25">
      <c r="A80" s="1551"/>
      <c r="B80" s="853" t="s">
        <v>103</v>
      </c>
      <c r="C80" s="734"/>
      <c r="D80" s="739"/>
      <c r="E80" s="734"/>
      <c r="F80" s="857"/>
      <c r="G80" s="1111"/>
    </row>
    <row r="81" spans="1:11" ht="13.5" thickBot="1" x14ac:dyDescent="0.25">
      <c r="A81" s="1551"/>
      <c r="B81" s="848" t="s">
        <v>14</v>
      </c>
      <c r="C81" s="740">
        <f>SUM(C71:C80)</f>
        <v>0</v>
      </c>
      <c r="D81" s="859">
        <f>SUM(D71:D80)</f>
        <v>73827860</v>
      </c>
      <c r="E81" s="740">
        <f>SUM(E71:E80)</f>
        <v>81169909</v>
      </c>
      <c r="F81" s="849">
        <f>E81/D81*100</f>
        <v>109.94482164321167</v>
      </c>
      <c r="G81" s="1111"/>
    </row>
    <row r="82" spans="1:11" ht="13.5" thickBot="1" x14ac:dyDescent="0.25">
      <c r="A82" s="860" t="s">
        <v>73</v>
      </c>
      <c r="B82" s="861" t="s">
        <v>24</v>
      </c>
      <c r="C82" s="862" t="s">
        <v>155</v>
      </c>
      <c r="D82" s="862" t="s">
        <v>148</v>
      </c>
      <c r="E82" s="862" t="s">
        <v>149</v>
      </c>
      <c r="F82" s="863" t="s">
        <v>150</v>
      </c>
      <c r="G82" s="1111"/>
    </row>
    <row r="83" spans="1:11" ht="12.75" customHeight="1" x14ac:dyDescent="0.2">
      <c r="A83" s="1553" t="s">
        <v>626</v>
      </c>
      <c r="B83" s="850" t="s">
        <v>88</v>
      </c>
      <c r="C83" s="844">
        <v>54321655</v>
      </c>
      <c r="D83" s="1157">
        <v>325598701</v>
      </c>
      <c r="E83" s="865">
        <v>253849717</v>
      </c>
      <c r="F83" s="857">
        <f>E83/D83*100</f>
        <v>77.963983339110428</v>
      </c>
      <c r="G83" s="1111"/>
    </row>
    <row r="84" spans="1:11" ht="25.5" x14ac:dyDescent="0.2">
      <c r="A84" s="1554"/>
      <c r="B84" s="852" t="s">
        <v>101</v>
      </c>
      <c r="C84" s="717">
        <v>5308661</v>
      </c>
      <c r="D84" s="738">
        <v>33039851</v>
      </c>
      <c r="E84" s="736">
        <v>26413859</v>
      </c>
      <c r="F84" s="857">
        <f>E84/D84*100</f>
        <v>79.945454354500569</v>
      </c>
      <c r="G84" s="1111"/>
    </row>
    <row r="85" spans="1:11" x14ac:dyDescent="0.2">
      <c r="A85" s="1554"/>
      <c r="B85" s="852" t="s">
        <v>90</v>
      </c>
      <c r="C85" s="717">
        <v>22363189</v>
      </c>
      <c r="D85" s="738">
        <v>58431083</v>
      </c>
      <c r="E85" s="736">
        <v>57318505</v>
      </c>
      <c r="F85" s="857">
        <f>E85/D85*100</f>
        <v>98.095914121598611</v>
      </c>
      <c r="G85" s="1111"/>
    </row>
    <row r="86" spans="1:11" x14ac:dyDescent="0.2">
      <c r="A86" s="1554"/>
      <c r="B86" s="852" t="s">
        <v>102</v>
      </c>
      <c r="C86" s="717"/>
      <c r="D86" s="738"/>
      <c r="E86" s="736"/>
      <c r="F86" s="857"/>
      <c r="G86" s="1111"/>
    </row>
    <row r="87" spans="1:11" ht="25.5" x14ac:dyDescent="0.2">
      <c r="A87" s="1554"/>
      <c r="B87" s="852" t="s">
        <v>97</v>
      </c>
      <c r="C87" s="717">
        <v>7634776</v>
      </c>
      <c r="D87" s="738"/>
      <c r="E87" s="736"/>
      <c r="F87" s="857"/>
      <c r="G87" s="1111"/>
    </row>
    <row r="88" spans="1:11" x14ac:dyDescent="0.2">
      <c r="A88" s="1554"/>
      <c r="B88" s="852" t="s">
        <v>627</v>
      </c>
      <c r="C88" s="717"/>
      <c r="D88" s="738"/>
      <c r="E88" s="736"/>
      <c r="F88" s="857"/>
      <c r="G88" s="1111"/>
    </row>
    <row r="89" spans="1:11" x14ac:dyDescent="0.2">
      <c r="A89" s="1554"/>
      <c r="B89" s="852" t="s">
        <v>92</v>
      </c>
      <c r="C89" s="717">
        <v>8403633</v>
      </c>
      <c r="D89" s="738">
        <v>49397492</v>
      </c>
      <c r="E89" s="736">
        <v>41763091</v>
      </c>
      <c r="F89" s="857">
        <f>E89/D89*100</f>
        <v>84.544962323188386</v>
      </c>
      <c r="G89" s="1111"/>
    </row>
    <row r="90" spans="1:11" x14ac:dyDescent="0.2">
      <c r="A90" s="1554"/>
      <c r="B90" s="852" t="s">
        <v>93</v>
      </c>
      <c r="C90" s="732"/>
      <c r="D90" s="738">
        <v>6532000</v>
      </c>
      <c r="E90" s="736">
        <v>8685002</v>
      </c>
      <c r="F90" s="857">
        <f>E90/D90*100</f>
        <v>132.96083894672381</v>
      </c>
      <c r="G90" s="1111"/>
    </row>
    <row r="91" spans="1:11" x14ac:dyDescent="0.2">
      <c r="A91" s="1554"/>
      <c r="B91" s="852" t="s">
        <v>94</v>
      </c>
      <c r="C91" s="732"/>
      <c r="D91" s="738"/>
      <c r="E91" s="736"/>
      <c r="F91" s="857"/>
      <c r="G91" s="1111"/>
    </row>
    <row r="92" spans="1:11" ht="13.5" thickBot="1" x14ac:dyDescent="0.25">
      <c r="A92" s="1554"/>
      <c r="B92" s="853" t="s">
        <v>103</v>
      </c>
      <c r="C92" s="734"/>
      <c r="D92" s="739"/>
      <c r="E92" s="737"/>
      <c r="F92" s="858"/>
      <c r="G92" s="1111"/>
    </row>
    <row r="93" spans="1:11" ht="13.5" thickBot="1" x14ac:dyDescent="0.25">
      <c r="A93" s="1554"/>
      <c r="B93" s="848" t="s">
        <v>14</v>
      </c>
      <c r="C93" s="740">
        <f>SUM(C83:C92)</f>
        <v>98031914</v>
      </c>
      <c r="D93" s="859">
        <f>SUM(D83:D92)</f>
        <v>472999127</v>
      </c>
      <c r="E93" s="866">
        <f>SUM(E83:E92)</f>
        <v>388030174</v>
      </c>
      <c r="F93" s="849">
        <f>E93/D93*100</f>
        <v>82.036129001142953</v>
      </c>
      <c r="G93" s="1111"/>
      <c r="I93" s="31"/>
      <c r="K93" s="2"/>
    </row>
    <row r="94" spans="1:11" x14ac:dyDescent="0.2">
      <c r="A94" s="1553" t="s">
        <v>536</v>
      </c>
      <c r="B94" s="850" t="s">
        <v>88</v>
      </c>
      <c r="C94" s="844"/>
      <c r="D94" s="864"/>
      <c r="E94" s="865"/>
      <c r="F94" s="857"/>
      <c r="G94" s="1111"/>
      <c r="I94" s="31"/>
      <c r="K94" s="2"/>
    </row>
    <row r="95" spans="1:11" ht="25.5" x14ac:dyDescent="0.2">
      <c r="A95" s="1554"/>
      <c r="B95" s="852" t="s">
        <v>101</v>
      </c>
      <c r="C95" s="717"/>
      <c r="D95" s="738"/>
      <c r="E95" s="736"/>
      <c r="F95" s="857"/>
      <c r="G95" s="1111"/>
      <c r="I95" s="31"/>
      <c r="K95" s="2"/>
    </row>
    <row r="96" spans="1:11" x14ac:dyDescent="0.2">
      <c r="A96" s="1554"/>
      <c r="B96" s="852" t="s">
        <v>90</v>
      </c>
      <c r="C96" s="717">
        <v>5989000</v>
      </c>
      <c r="D96" s="738">
        <v>10000075</v>
      </c>
      <c r="E96" s="736">
        <v>5644141</v>
      </c>
      <c r="F96" s="857">
        <f>E96/D96*100</f>
        <v>56.440986692599807</v>
      </c>
      <c r="G96" s="1111"/>
      <c r="I96" s="31"/>
      <c r="K96" s="2"/>
    </row>
    <row r="97" spans="1:11" x14ac:dyDescent="0.2">
      <c r="A97" s="1554"/>
      <c r="B97" s="852" t="s">
        <v>102</v>
      </c>
      <c r="C97" s="717"/>
      <c r="D97" s="738"/>
      <c r="E97" s="736"/>
      <c r="F97" s="857"/>
      <c r="G97" s="1111"/>
      <c r="I97" s="31"/>
      <c r="K97" s="2"/>
    </row>
    <row r="98" spans="1:11" ht="25.5" x14ac:dyDescent="0.2">
      <c r="A98" s="1554"/>
      <c r="B98" s="852" t="s">
        <v>97</v>
      </c>
      <c r="C98" s="717"/>
      <c r="D98" s="738"/>
      <c r="E98" s="736"/>
      <c r="F98" s="857"/>
      <c r="G98" s="1111"/>
      <c r="I98" s="31"/>
      <c r="K98" s="2"/>
    </row>
    <row r="99" spans="1:11" x14ac:dyDescent="0.2">
      <c r="A99" s="1554"/>
      <c r="B99" s="852" t="s">
        <v>627</v>
      </c>
      <c r="C99" s="717"/>
      <c r="D99" s="738"/>
      <c r="E99" s="736"/>
      <c r="F99" s="857"/>
      <c r="G99" s="1111"/>
      <c r="I99" s="31"/>
      <c r="K99" s="2"/>
    </row>
    <row r="100" spans="1:11" x14ac:dyDescent="0.2">
      <c r="A100" s="1554"/>
      <c r="B100" s="852" t="s">
        <v>92</v>
      </c>
      <c r="C100" s="717">
        <v>700000</v>
      </c>
      <c r="D100" s="738">
        <v>700000</v>
      </c>
      <c r="E100" s="736">
        <v>483790</v>
      </c>
      <c r="F100" s="857">
        <f>E100/D100*100</f>
        <v>69.112857142857138</v>
      </c>
      <c r="G100" s="1111"/>
      <c r="I100" s="31"/>
      <c r="K100" s="2"/>
    </row>
    <row r="101" spans="1:11" x14ac:dyDescent="0.2">
      <c r="A101" s="1554"/>
      <c r="B101" s="852" t="s">
        <v>93</v>
      </c>
      <c r="C101" s="732"/>
      <c r="D101" s="738"/>
      <c r="E101" s="736"/>
      <c r="F101" s="857"/>
      <c r="G101" s="1111"/>
      <c r="I101" s="31"/>
      <c r="K101" s="2"/>
    </row>
    <row r="102" spans="1:11" x14ac:dyDescent="0.2">
      <c r="A102" s="1554"/>
      <c r="B102" s="852" t="s">
        <v>94</v>
      </c>
      <c r="C102" s="732"/>
      <c r="D102" s="738"/>
      <c r="E102" s="736"/>
      <c r="F102" s="857"/>
      <c r="G102" s="1111"/>
      <c r="I102" s="31"/>
      <c r="K102" s="2"/>
    </row>
    <row r="103" spans="1:11" ht="13.5" thickBot="1" x14ac:dyDescent="0.25">
      <c r="A103" s="1554"/>
      <c r="B103" s="853" t="s">
        <v>103</v>
      </c>
      <c r="C103" s="734"/>
      <c r="D103" s="739"/>
      <c r="E103" s="737"/>
      <c r="F103" s="858"/>
      <c r="G103" s="1111"/>
      <c r="I103" s="31"/>
      <c r="K103" s="2"/>
    </row>
    <row r="104" spans="1:11" ht="13.5" thickBot="1" x14ac:dyDescent="0.25">
      <c r="A104" s="1554"/>
      <c r="B104" s="848" t="s">
        <v>14</v>
      </c>
      <c r="C104" s="740">
        <f>SUM(C94:C103)</f>
        <v>6689000</v>
      </c>
      <c r="D104" s="859">
        <f>SUM(D94:D103)</f>
        <v>10700075</v>
      </c>
      <c r="E104" s="866">
        <f>SUM(E94:E103)</f>
        <v>6127931</v>
      </c>
      <c r="F104" s="849">
        <f>E104/D104*100</f>
        <v>57.269981752464346</v>
      </c>
      <c r="G104" s="1111"/>
      <c r="I104" s="31"/>
      <c r="K104" s="2"/>
    </row>
    <row r="105" spans="1:11" x14ac:dyDescent="0.2">
      <c r="A105" s="1550" t="s">
        <v>475</v>
      </c>
      <c r="B105" s="850" t="s">
        <v>88</v>
      </c>
      <c r="C105" s="844"/>
      <c r="D105" s="844"/>
      <c r="E105" s="844"/>
      <c r="F105" s="856"/>
      <c r="G105" s="1247"/>
    </row>
    <row r="106" spans="1:11" ht="25.5" x14ac:dyDescent="0.2">
      <c r="A106" s="1551"/>
      <c r="B106" s="852" t="s">
        <v>101</v>
      </c>
      <c r="C106" s="717"/>
      <c r="D106" s="717"/>
      <c r="E106" s="717"/>
      <c r="F106" s="857"/>
      <c r="G106" s="1248"/>
    </row>
    <row r="107" spans="1:11" x14ac:dyDescent="0.2">
      <c r="A107" s="1551"/>
      <c r="B107" s="852" t="s">
        <v>90</v>
      </c>
      <c r="C107" s="717"/>
      <c r="D107" s="717">
        <v>44167529</v>
      </c>
      <c r="E107" s="717">
        <v>22041250</v>
      </c>
      <c r="F107" s="857">
        <f t="shared" ref="F107" si="3">E107/D107*100</f>
        <v>49.903742634096645</v>
      </c>
      <c r="G107" s="1249"/>
    </row>
    <row r="108" spans="1:11" x14ac:dyDescent="0.2">
      <c r="A108" s="1551"/>
      <c r="B108" s="852" t="s">
        <v>102</v>
      </c>
      <c r="C108" s="717"/>
      <c r="D108" s="717"/>
      <c r="E108" s="717"/>
      <c r="F108" s="857"/>
      <c r="G108" s="1249"/>
    </row>
    <row r="109" spans="1:11" ht="25.5" x14ac:dyDescent="0.2">
      <c r="A109" s="1551"/>
      <c r="B109" s="852" t="s">
        <v>97</v>
      </c>
      <c r="C109" s="717"/>
      <c r="D109" s="717"/>
      <c r="E109" s="717"/>
      <c r="F109" s="857"/>
      <c r="G109" s="1249"/>
    </row>
    <row r="110" spans="1:11" x14ac:dyDescent="0.2">
      <c r="A110" s="1551"/>
      <c r="B110" s="852" t="s">
        <v>627</v>
      </c>
      <c r="C110" s="717">
        <v>550599</v>
      </c>
      <c r="D110" s="717">
        <v>550599</v>
      </c>
      <c r="E110" s="717"/>
      <c r="F110" s="857"/>
      <c r="G110" s="1249"/>
    </row>
    <row r="111" spans="1:11" x14ac:dyDescent="0.2">
      <c r="A111" s="1551"/>
      <c r="B111" s="852" t="s">
        <v>92</v>
      </c>
      <c r="C111" s="717">
        <v>898498061</v>
      </c>
      <c r="D111" s="717">
        <v>854330532</v>
      </c>
      <c r="E111" s="717">
        <v>181683592</v>
      </c>
      <c r="F111" s="857">
        <f>E111/D111*100</f>
        <v>21.266194428832609</v>
      </c>
      <c r="G111" s="1249"/>
    </row>
    <row r="112" spans="1:11" x14ac:dyDescent="0.2">
      <c r="A112" s="1551"/>
      <c r="B112" s="852" t="s">
        <v>93</v>
      </c>
      <c r="C112" s="732">
        <v>11402123</v>
      </c>
      <c r="D112" s="732">
        <v>9248958</v>
      </c>
      <c r="E112" s="732">
        <v>1458940</v>
      </c>
      <c r="F112" s="857">
        <f>E112/D112*100</f>
        <v>15.774101255514406</v>
      </c>
      <c r="G112" s="1249"/>
    </row>
    <row r="113" spans="1:8" x14ac:dyDescent="0.2">
      <c r="A113" s="1551"/>
      <c r="B113" s="852" t="s">
        <v>94</v>
      </c>
      <c r="C113" s="732"/>
      <c r="D113" s="732"/>
      <c r="E113" s="732"/>
      <c r="F113" s="857"/>
      <c r="G113" s="1249"/>
    </row>
    <row r="114" spans="1:8" ht="13.5" thickBot="1" x14ac:dyDescent="0.25">
      <c r="A114" s="1551"/>
      <c r="B114" s="853" t="s">
        <v>103</v>
      </c>
      <c r="C114" s="734"/>
      <c r="D114" s="734"/>
      <c r="E114" s="734"/>
      <c r="F114" s="858"/>
      <c r="G114" s="1249"/>
    </row>
    <row r="115" spans="1:8" ht="13.5" thickBot="1" x14ac:dyDescent="0.25">
      <c r="A115" s="1551"/>
      <c r="B115" s="848" t="s">
        <v>14</v>
      </c>
      <c r="C115" s="1147">
        <f>SUM(C105:C114)</f>
        <v>910450783</v>
      </c>
      <c r="D115" s="1147">
        <f>SUM(D105:D114)</f>
        <v>908297618</v>
      </c>
      <c r="E115" s="1147">
        <f>SUM(E105:E114)</f>
        <v>205183782</v>
      </c>
      <c r="F115" s="985">
        <f>E115/D115*100</f>
        <v>22.589928447880176</v>
      </c>
      <c r="G115" s="1249"/>
    </row>
    <row r="116" spans="1:8" x14ac:dyDescent="0.2">
      <c r="A116" s="1550" t="s">
        <v>576</v>
      </c>
      <c r="B116" s="1148" t="s">
        <v>88</v>
      </c>
      <c r="C116" s="1232"/>
      <c r="D116" s="1233"/>
      <c r="E116" s="1233"/>
      <c r="F116" s="856"/>
      <c r="G116" s="1249"/>
    </row>
    <row r="117" spans="1:8" ht="25.5" x14ac:dyDescent="0.2">
      <c r="A117" s="1551"/>
      <c r="B117" s="1149" t="s">
        <v>101</v>
      </c>
      <c r="C117" s="1234"/>
      <c r="D117" s="732"/>
      <c r="E117" s="732"/>
      <c r="F117" s="857"/>
      <c r="G117" s="1249"/>
    </row>
    <row r="118" spans="1:8" x14ac:dyDescent="0.2">
      <c r="A118" s="1551"/>
      <c r="B118" s="1149" t="s">
        <v>90</v>
      </c>
      <c r="C118" s="1234"/>
      <c r="D118" s="732">
        <v>196849</v>
      </c>
      <c r="E118" s="732">
        <v>952500</v>
      </c>
      <c r="F118" s="857">
        <f>E118/D118%</f>
        <v>483.8734258238548</v>
      </c>
      <c r="G118" s="1249"/>
    </row>
    <row r="119" spans="1:8" x14ac:dyDescent="0.2">
      <c r="A119" s="1551"/>
      <c r="B119" s="1149" t="s">
        <v>102</v>
      </c>
      <c r="C119" s="1234"/>
      <c r="D119" s="732"/>
      <c r="E119" s="732"/>
      <c r="F119" s="857"/>
      <c r="G119" s="1249"/>
    </row>
    <row r="120" spans="1:8" ht="25.5" x14ac:dyDescent="0.2">
      <c r="A120" s="1551"/>
      <c r="B120" s="1149" t="s">
        <v>97</v>
      </c>
      <c r="C120" s="1234"/>
      <c r="D120" s="732"/>
      <c r="E120" s="732"/>
      <c r="F120" s="857"/>
      <c r="G120" s="1249"/>
    </row>
    <row r="121" spans="1:8" x14ac:dyDescent="0.2">
      <c r="A121" s="1551"/>
      <c r="B121" s="1149" t="s">
        <v>627</v>
      </c>
      <c r="C121" s="1234"/>
      <c r="D121" s="732"/>
      <c r="E121" s="732"/>
      <c r="F121" s="857"/>
      <c r="G121" s="1249"/>
    </row>
    <row r="122" spans="1:8" x14ac:dyDescent="0.2">
      <c r="A122" s="1551"/>
      <c r="B122" s="1149" t="s">
        <v>92</v>
      </c>
      <c r="C122" s="1234">
        <v>136676212</v>
      </c>
      <c r="D122" s="732">
        <v>136676212</v>
      </c>
      <c r="E122" s="732">
        <v>203200</v>
      </c>
      <c r="F122" s="857">
        <f t="shared" ref="F122:F126" si="4">E122/D122%</f>
        <v>0.14867254295868251</v>
      </c>
      <c r="G122" s="1249"/>
    </row>
    <row r="123" spans="1:8" x14ac:dyDescent="0.2">
      <c r="A123" s="1551"/>
      <c r="B123" s="1149" t="s">
        <v>93</v>
      </c>
      <c r="C123" s="1234"/>
      <c r="D123" s="732">
        <v>17450208</v>
      </c>
      <c r="E123" s="732">
        <v>17450208</v>
      </c>
      <c r="F123" s="857">
        <f t="shared" si="4"/>
        <v>100.00000000000001</v>
      </c>
      <c r="G123" s="1249"/>
    </row>
    <row r="124" spans="1:8" x14ac:dyDescent="0.2">
      <c r="A124" s="1551"/>
      <c r="B124" s="1149" t="s">
        <v>94</v>
      </c>
      <c r="C124" s="1234"/>
      <c r="D124" s="732"/>
      <c r="E124" s="732"/>
      <c r="F124" s="857"/>
      <c r="G124" s="1249"/>
    </row>
    <row r="125" spans="1:8" ht="13.5" thickBot="1" x14ac:dyDescent="0.25">
      <c r="A125" s="1551"/>
      <c r="B125" s="1150" t="s">
        <v>103</v>
      </c>
      <c r="C125" s="1235"/>
      <c r="D125" s="734"/>
      <c r="E125" s="734"/>
      <c r="F125" s="858"/>
      <c r="G125" s="1249"/>
    </row>
    <row r="126" spans="1:8" ht="13.5" thickBot="1" x14ac:dyDescent="0.25">
      <c r="A126" s="1551"/>
      <c r="B126" s="993" t="s">
        <v>14</v>
      </c>
      <c r="C126" s="1156">
        <f>SUM(C116:C125)</f>
        <v>136676212</v>
      </c>
      <c r="D126" s="1156">
        <f t="shared" ref="D126:E126" si="5">SUM(D116:D125)</f>
        <v>154323269</v>
      </c>
      <c r="E126" s="1236">
        <f t="shared" si="5"/>
        <v>18605908</v>
      </c>
      <c r="F126" s="992">
        <f t="shared" si="4"/>
        <v>12.056450152050628</v>
      </c>
      <c r="G126" s="1249"/>
    </row>
    <row r="127" spans="1:8" s="25" customFormat="1" x14ac:dyDescent="0.2">
      <c r="A127" s="1550" t="s">
        <v>483</v>
      </c>
      <c r="B127" s="850" t="s">
        <v>88</v>
      </c>
      <c r="C127" s="1154"/>
      <c r="D127" s="1154"/>
      <c r="E127" s="1154"/>
      <c r="F127" s="1155"/>
      <c r="G127" s="1250"/>
      <c r="H127" s="823"/>
    </row>
    <row r="128" spans="1:8" s="25" customFormat="1" ht="25.5" x14ac:dyDescent="0.2">
      <c r="A128" s="1551"/>
      <c r="B128" s="852" t="s">
        <v>101</v>
      </c>
      <c r="C128" s="717"/>
      <c r="D128" s="717"/>
      <c r="E128" s="717"/>
      <c r="F128" s="857"/>
      <c r="G128" s="1250"/>
      <c r="H128" s="823"/>
    </row>
    <row r="129" spans="1:8" s="25" customFormat="1" x14ac:dyDescent="0.2">
      <c r="A129" s="1551"/>
      <c r="B129" s="852" t="s">
        <v>90</v>
      </c>
      <c r="C129" s="717">
        <v>7925000</v>
      </c>
      <c r="D129" s="717">
        <v>7925000</v>
      </c>
      <c r="E129" s="717">
        <v>7704138</v>
      </c>
      <c r="F129" s="857">
        <f>E129/D129%</f>
        <v>97.213097791798106</v>
      </c>
      <c r="G129" s="1250"/>
      <c r="H129" s="823"/>
    </row>
    <row r="130" spans="1:8" s="25" customFormat="1" x14ac:dyDescent="0.2">
      <c r="A130" s="1551"/>
      <c r="B130" s="852" t="s">
        <v>102</v>
      </c>
      <c r="C130" s="717"/>
      <c r="D130" s="717"/>
      <c r="E130" s="717"/>
      <c r="F130" s="857"/>
      <c r="G130" s="1250"/>
      <c r="H130" s="823"/>
    </row>
    <row r="131" spans="1:8" s="25" customFormat="1" ht="25.5" x14ac:dyDescent="0.2">
      <c r="A131" s="1551"/>
      <c r="B131" s="852" t="s">
        <v>97</v>
      </c>
      <c r="C131" s="717">
        <v>2475945</v>
      </c>
      <c r="D131" s="717">
        <v>2475945</v>
      </c>
      <c r="E131" s="717">
        <v>2779292</v>
      </c>
      <c r="F131" s="857">
        <f t="shared" ref="F131" si="6">E131/D131%</f>
        <v>112.2517664972364</v>
      </c>
      <c r="G131" s="1250"/>
      <c r="H131" s="823"/>
    </row>
    <row r="132" spans="1:8" s="25" customFormat="1" x14ac:dyDescent="0.2">
      <c r="A132" s="1551"/>
      <c r="B132" s="852" t="s">
        <v>627</v>
      </c>
      <c r="C132" s="717"/>
      <c r="D132" s="717"/>
      <c r="E132" s="717"/>
      <c r="F132" s="857"/>
      <c r="G132" s="1250"/>
      <c r="H132" s="823"/>
    </row>
    <row r="133" spans="1:8" s="25" customFormat="1" x14ac:dyDescent="0.2">
      <c r="A133" s="1551"/>
      <c r="B133" s="852" t="s">
        <v>92</v>
      </c>
      <c r="C133" s="717"/>
      <c r="D133" s="717"/>
      <c r="E133" s="717"/>
      <c r="F133" s="857"/>
      <c r="G133" s="1250"/>
      <c r="H133" s="823"/>
    </row>
    <row r="134" spans="1:8" s="25" customFormat="1" x14ac:dyDescent="0.2">
      <c r="A134" s="1551"/>
      <c r="B134" s="852" t="s">
        <v>93</v>
      </c>
      <c r="C134" s="732"/>
      <c r="D134" s="732"/>
      <c r="E134" s="732"/>
      <c r="F134" s="857"/>
      <c r="G134" s="1250"/>
      <c r="H134" s="823"/>
    </row>
    <row r="135" spans="1:8" s="25" customFormat="1" x14ac:dyDescent="0.2">
      <c r="A135" s="1551"/>
      <c r="B135" s="852" t="s">
        <v>94</v>
      </c>
      <c r="C135" s="732"/>
      <c r="D135" s="732"/>
      <c r="E135" s="732"/>
      <c r="F135" s="857"/>
      <c r="G135" s="1250"/>
      <c r="H135" s="823"/>
    </row>
    <row r="136" spans="1:8" s="25" customFormat="1" ht="13.5" thickBot="1" x14ac:dyDescent="0.25">
      <c r="A136" s="1551"/>
      <c r="B136" s="853" t="s">
        <v>103</v>
      </c>
      <c r="C136" s="734"/>
      <c r="D136" s="734"/>
      <c r="E136" s="734"/>
      <c r="F136" s="858"/>
      <c r="G136" s="1250"/>
      <c r="H136" s="823"/>
    </row>
    <row r="137" spans="1:8" s="25" customFormat="1" ht="13.5" thickBot="1" x14ac:dyDescent="0.25">
      <c r="A137" s="1551"/>
      <c r="B137" s="848" t="s">
        <v>14</v>
      </c>
      <c r="C137" s="740">
        <f>SUM(C127:C136)</f>
        <v>10400945</v>
      </c>
      <c r="D137" s="740">
        <f>SUM(D127:D136)</f>
        <v>10400945</v>
      </c>
      <c r="E137" s="740">
        <f>SUM(E127:E136)</f>
        <v>10483430</v>
      </c>
      <c r="F137" s="849">
        <f>E137/D137*100</f>
        <v>100.79305293893968</v>
      </c>
      <c r="G137" s="1250"/>
      <c r="H137" s="823"/>
    </row>
    <row r="138" spans="1:8" x14ac:dyDescent="0.2">
      <c r="A138" s="1550" t="s">
        <v>484</v>
      </c>
      <c r="B138" s="850" t="s">
        <v>88</v>
      </c>
      <c r="C138" s="844"/>
      <c r="D138" s="844"/>
      <c r="E138" s="844"/>
      <c r="F138" s="856"/>
      <c r="G138" s="1111"/>
    </row>
    <row r="139" spans="1:8" ht="25.5" x14ac:dyDescent="0.2">
      <c r="A139" s="1551"/>
      <c r="B139" s="852" t="s">
        <v>101</v>
      </c>
      <c r="C139" s="717"/>
      <c r="D139" s="717"/>
      <c r="E139" s="717"/>
      <c r="F139" s="857"/>
      <c r="G139" s="1111"/>
    </row>
    <row r="140" spans="1:8" x14ac:dyDescent="0.2">
      <c r="A140" s="1551"/>
      <c r="B140" s="852" t="s">
        <v>90</v>
      </c>
      <c r="C140" s="717"/>
      <c r="D140" s="717"/>
      <c r="E140" s="717"/>
      <c r="F140" s="857"/>
      <c r="G140" s="1111"/>
    </row>
    <row r="141" spans="1:8" x14ac:dyDescent="0.2">
      <c r="A141" s="1551"/>
      <c r="B141" s="852" t="s">
        <v>102</v>
      </c>
      <c r="C141" s="717"/>
      <c r="D141" s="717"/>
      <c r="E141" s="717"/>
      <c r="F141" s="857"/>
      <c r="G141" s="1111"/>
    </row>
    <row r="142" spans="1:8" ht="25.5" x14ac:dyDescent="0.2">
      <c r="A142" s="1551"/>
      <c r="B142" s="852" t="s">
        <v>97</v>
      </c>
      <c r="C142" s="717">
        <v>5175936</v>
      </c>
      <c r="D142" s="717">
        <v>1410140</v>
      </c>
      <c r="E142" s="717">
        <v>1410140</v>
      </c>
      <c r="F142" s="857">
        <f t="shared" ref="F142" si="7">E142/D142%</f>
        <v>100</v>
      </c>
      <c r="G142" s="1111"/>
    </row>
    <row r="143" spans="1:8" x14ac:dyDescent="0.2">
      <c r="A143" s="1551"/>
      <c r="B143" s="852" t="s">
        <v>627</v>
      </c>
      <c r="C143" s="717"/>
      <c r="D143" s="717"/>
      <c r="E143" s="717"/>
      <c r="F143" s="857"/>
      <c r="G143" s="1111"/>
    </row>
    <row r="144" spans="1:8" x14ac:dyDescent="0.2">
      <c r="A144" s="1551"/>
      <c r="B144" s="852" t="s">
        <v>92</v>
      </c>
      <c r="C144" s="717"/>
      <c r="D144" s="717"/>
      <c r="E144" s="717"/>
      <c r="F144" s="857"/>
      <c r="G144" s="1111"/>
    </row>
    <row r="145" spans="1:8" x14ac:dyDescent="0.2">
      <c r="A145" s="1551"/>
      <c r="B145" s="852" t="s">
        <v>93</v>
      </c>
      <c r="C145" s="732"/>
      <c r="D145" s="732"/>
      <c r="E145" s="732"/>
      <c r="F145" s="857"/>
      <c r="G145" s="1111"/>
    </row>
    <row r="146" spans="1:8" x14ac:dyDescent="0.2">
      <c r="A146" s="1551"/>
      <c r="B146" s="852" t="s">
        <v>94</v>
      </c>
      <c r="C146" s="732"/>
      <c r="D146" s="732"/>
      <c r="E146" s="732"/>
      <c r="F146" s="857"/>
      <c r="G146" s="1111"/>
    </row>
    <row r="147" spans="1:8" ht="13.5" thickBot="1" x14ac:dyDescent="0.25">
      <c r="A147" s="1551"/>
      <c r="B147" s="853" t="s">
        <v>103</v>
      </c>
      <c r="C147" s="734"/>
      <c r="D147" s="734"/>
      <c r="E147" s="734"/>
      <c r="F147" s="854"/>
      <c r="G147" s="1111"/>
    </row>
    <row r="148" spans="1:8" s="25" customFormat="1" ht="13.5" thickBot="1" x14ac:dyDescent="0.25">
      <c r="A148" s="1551"/>
      <c r="B148" s="848" t="s">
        <v>14</v>
      </c>
      <c r="C148" s="740">
        <f>SUM(C138:C147)</f>
        <v>5175936</v>
      </c>
      <c r="D148" s="740">
        <f>SUM(D138:D147)</f>
        <v>1410140</v>
      </c>
      <c r="E148" s="740">
        <f>SUM(E138:E147)</f>
        <v>1410140</v>
      </c>
      <c r="F148" s="849">
        <f>E148/D148*100</f>
        <v>100</v>
      </c>
      <c r="G148" s="1250"/>
      <c r="H148" s="823"/>
    </row>
    <row r="149" spans="1:8" x14ac:dyDescent="0.2">
      <c r="A149" s="1550" t="s">
        <v>485</v>
      </c>
      <c r="B149" s="850" t="s">
        <v>88</v>
      </c>
      <c r="C149" s="844"/>
      <c r="D149" s="844"/>
      <c r="E149" s="844"/>
      <c r="F149" s="856"/>
      <c r="G149" s="1111"/>
    </row>
    <row r="150" spans="1:8" ht="25.5" x14ac:dyDescent="0.2">
      <c r="A150" s="1551"/>
      <c r="B150" s="852" t="s">
        <v>101</v>
      </c>
      <c r="C150" s="717"/>
      <c r="D150" s="717"/>
      <c r="E150" s="717"/>
      <c r="F150" s="857"/>
      <c r="G150" s="1111"/>
    </row>
    <row r="151" spans="1:8" x14ac:dyDescent="0.2">
      <c r="A151" s="1551"/>
      <c r="B151" s="852" t="s">
        <v>90</v>
      </c>
      <c r="C151" s="717"/>
      <c r="D151" s="717">
        <v>497252776</v>
      </c>
      <c r="E151" s="717">
        <v>157742793</v>
      </c>
      <c r="F151" s="857">
        <f t="shared" ref="F151" si="8">E151/D151*100</f>
        <v>31.722858194762498</v>
      </c>
      <c r="G151" s="1111"/>
    </row>
    <row r="152" spans="1:8" x14ac:dyDescent="0.2">
      <c r="A152" s="1551"/>
      <c r="B152" s="852" t="s">
        <v>102</v>
      </c>
      <c r="C152" s="717"/>
      <c r="D152" s="717"/>
      <c r="E152" s="717"/>
      <c r="F152" s="857"/>
      <c r="G152" s="1111"/>
    </row>
    <row r="153" spans="1:8" ht="25.5" x14ac:dyDescent="0.2">
      <c r="A153" s="1551"/>
      <c r="B153" s="852" t="s">
        <v>97</v>
      </c>
      <c r="C153" s="717">
        <v>50000</v>
      </c>
      <c r="D153" s="717">
        <v>50000</v>
      </c>
      <c r="E153" s="717">
        <v>32000</v>
      </c>
      <c r="F153" s="857">
        <f t="shared" ref="F153" si="9">E153/D153*100</f>
        <v>64</v>
      </c>
      <c r="G153" s="1111"/>
    </row>
    <row r="154" spans="1:8" x14ac:dyDescent="0.2">
      <c r="A154" s="1551"/>
      <c r="B154" s="852" t="s">
        <v>627</v>
      </c>
      <c r="C154" s="717"/>
      <c r="D154" s="717"/>
      <c r="E154" s="717"/>
      <c r="F154" s="857"/>
      <c r="G154" s="1111"/>
    </row>
    <row r="155" spans="1:8" x14ac:dyDescent="0.2">
      <c r="A155" s="1551"/>
      <c r="B155" s="852" t="s">
        <v>92</v>
      </c>
      <c r="C155" s="717">
        <v>1390854858</v>
      </c>
      <c r="D155" s="717">
        <v>586479311</v>
      </c>
      <c r="E155" s="717">
        <v>586479311</v>
      </c>
      <c r="F155" s="857">
        <f t="shared" ref="F155" si="10">E155/D155*100</f>
        <v>100</v>
      </c>
      <c r="G155" s="1111"/>
    </row>
    <row r="156" spans="1:8" x14ac:dyDescent="0.2">
      <c r="A156" s="1551"/>
      <c r="B156" s="852" t="s">
        <v>93</v>
      </c>
      <c r="C156" s="732"/>
      <c r="D156" s="732"/>
      <c r="E156" s="732"/>
      <c r="F156" s="857"/>
      <c r="G156" s="1111"/>
    </row>
    <row r="157" spans="1:8" x14ac:dyDescent="0.2">
      <c r="A157" s="1551"/>
      <c r="B157" s="852" t="s">
        <v>94</v>
      </c>
      <c r="C157" s="732"/>
      <c r="D157" s="732"/>
      <c r="E157" s="732"/>
      <c r="F157" s="857"/>
      <c r="G157" s="1111"/>
    </row>
    <row r="158" spans="1:8" ht="13.5" thickBot="1" x14ac:dyDescent="0.25">
      <c r="A158" s="1551"/>
      <c r="B158" s="853" t="s">
        <v>103</v>
      </c>
      <c r="C158" s="734"/>
      <c r="D158" s="734"/>
      <c r="E158" s="734"/>
      <c r="F158" s="858"/>
      <c r="G158" s="1111"/>
    </row>
    <row r="159" spans="1:8" ht="13.5" thickBot="1" x14ac:dyDescent="0.25">
      <c r="A159" s="1551"/>
      <c r="B159" s="848" t="s">
        <v>14</v>
      </c>
      <c r="C159" s="740">
        <f>SUM(C149:C158)</f>
        <v>1390904858</v>
      </c>
      <c r="D159" s="740">
        <f>SUM(D149:D158)</f>
        <v>1083782087</v>
      </c>
      <c r="E159" s="740">
        <f>SUM(E149:E158)</f>
        <v>744254104</v>
      </c>
      <c r="F159" s="849">
        <f>E159/D159*100</f>
        <v>68.671932570887748</v>
      </c>
      <c r="G159" s="1111"/>
    </row>
    <row r="160" spans="1:8" ht="13.5" thickBot="1" x14ac:dyDescent="0.25">
      <c r="A160" s="860" t="s">
        <v>73</v>
      </c>
      <c r="B160" s="861" t="s">
        <v>24</v>
      </c>
      <c r="C160" s="862" t="s">
        <v>155</v>
      </c>
      <c r="D160" s="862" t="s">
        <v>148</v>
      </c>
      <c r="E160" s="862" t="s">
        <v>149</v>
      </c>
      <c r="F160" s="863" t="s">
        <v>150</v>
      </c>
      <c r="G160" s="1111"/>
    </row>
    <row r="161" spans="1:7" x14ac:dyDescent="0.2">
      <c r="A161" s="1550" t="s">
        <v>629</v>
      </c>
      <c r="B161" s="850" t="s">
        <v>88</v>
      </c>
      <c r="C161" s="844"/>
      <c r="D161" s="844"/>
      <c r="E161" s="844"/>
      <c r="F161" s="856"/>
      <c r="G161" s="1111"/>
    </row>
    <row r="162" spans="1:7" ht="25.5" x14ac:dyDescent="0.2">
      <c r="A162" s="1551"/>
      <c r="B162" s="852" t="s">
        <v>101</v>
      </c>
      <c r="C162" s="717"/>
      <c r="D162" s="717"/>
      <c r="E162" s="717"/>
      <c r="F162" s="857"/>
      <c r="G162" s="1111"/>
    </row>
    <row r="163" spans="1:7" x14ac:dyDescent="0.2">
      <c r="A163" s="1551"/>
      <c r="B163" s="852" t="s">
        <v>90</v>
      </c>
      <c r="C163" s="717"/>
      <c r="D163" s="717">
        <v>2734490</v>
      </c>
      <c r="E163" s="717">
        <v>2853355</v>
      </c>
      <c r="F163" s="857">
        <f>E163/D163*100</f>
        <v>104.34688003978805</v>
      </c>
      <c r="G163" s="1111"/>
    </row>
    <row r="164" spans="1:7" x14ac:dyDescent="0.2">
      <c r="A164" s="1551"/>
      <c r="B164" s="852" t="s">
        <v>102</v>
      </c>
      <c r="C164" s="717"/>
      <c r="D164" s="717"/>
      <c r="E164" s="717"/>
      <c r="F164" s="857"/>
      <c r="G164" s="1111"/>
    </row>
    <row r="165" spans="1:7" ht="25.5" x14ac:dyDescent="0.2">
      <c r="A165" s="1551"/>
      <c r="B165" s="852" t="s">
        <v>97</v>
      </c>
      <c r="C165" s="717"/>
      <c r="D165" s="717"/>
      <c r="E165" s="717"/>
      <c r="F165" s="857"/>
      <c r="G165" s="1111"/>
    </row>
    <row r="166" spans="1:7" x14ac:dyDescent="0.2">
      <c r="A166" s="1551"/>
      <c r="B166" s="852" t="s">
        <v>627</v>
      </c>
      <c r="C166" s="717"/>
      <c r="D166" s="717"/>
      <c r="E166" s="717"/>
      <c r="F166" s="857"/>
      <c r="G166" s="1111"/>
    </row>
    <row r="167" spans="1:7" x14ac:dyDescent="0.2">
      <c r="A167" s="1551"/>
      <c r="B167" s="852" t="s">
        <v>92</v>
      </c>
      <c r="C167" s="717"/>
      <c r="D167" s="717">
        <v>250000</v>
      </c>
      <c r="E167" s="717">
        <v>250000</v>
      </c>
      <c r="F167" s="857">
        <f>E167/D167*100</f>
        <v>100</v>
      </c>
      <c r="G167" s="1111"/>
    </row>
    <row r="168" spans="1:7" x14ac:dyDescent="0.2">
      <c r="A168" s="1551"/>
      <c r="B168" s="852" t="s">
        <v>93</v>
      </c>
      <c r="C168" s="732"/>
      <c r="D168" s="732"/>
      <c r="E168" s="732"/>
      <c r="F168" s="857"/>
      <c r="G168" s="1111"/>
    </row>
    <row r="169" spans="1:7" x14ac:dyDescent="0.2">
      <c r="A169" s="1551"/>
      <c r="B169" s="852" t="s">
        <v>94</v>
      </c>
      <c r="C169" s="732"/>
      <c r="D169" s="732"/>
      <c r="E169" s="732"/>
      <c r="F169" s="857"/>
      <c r="G169" s="1111"/>
    </row>
    <row r="170" spans="1:7" ht="13.5" thickBot="1" x14ac:dyDescent="0.25">
      <c r="A170" s="1551"/>
      <c r="B170" s="853" t="s">
        <v>103</v>
      </c>
      <c r="C170" s="734"/>
      <c r="D170" s="734"/>
      <c r="E170" s="734"/>
      <c r="F170" s="858"/>
      <c r="G170" s="1111"/>
    </row>
    <row r="171" spans="1:7" ht="13.5" thickBot="1" x14ac:dyDescent="0.25">
      <c r="A171" s="1551"/>
      <c r="B171" s="848" t="s">
        <v>14</v>
      </c>
      <c r="C171" s="740">
        <f>SUM(C161:C170)</f>
        <v>0</v>
      </c>
      <c r="D171" s="740">
        <f>SUM(D161:D170)</f>
        <v>2984490</v>
      </c>
      <c r="E171" s="740">
        <f>SUM(E161:E170)</f>
        <v>3103355</v>
      </c>
      <c r="F171" s="849">
        <f>E171/D171*100</f>
        <v>103.9827575230609</v>
      </c>
      <c r="G171" s="1111"/>
    </row>
    <row r="172" spans="1:7" x14ac:dyDescent="0.2">
      <c r="A172" s="1550" t="s">
        <v>104</v>
      </c>
      <c r="B172" s="850" t="s">
        <v>88</v>
      </c>
      <c r="C172" s="844"/>
      <c r="D172" s="844"/>
      <c r="E172" s="844"/>
      <c r="F172" s="856"/>
      <c r="G172" s="1111"/>
    </row>
    <row r="173" spans="1:7" ht="25.5" x14ac:dyDescent="0.2">
      <c r="A173" s="1551"/>
      <c r="B173" s="852" t="s">
        <v>101</v>
      </c>
      <c r="C173" s="717"/>
      <c r="D173" s="717"/>
      <c r="E173" s="717"/>
      <c r="F173" s="857"/>
      <c r="G173" s="1111"/>
    </row>
    <row r="174" spans="1:7" x14ac:dyDescent="0.2">
      <c r="A174" s="1551"/>
      <c r="B174" s="852" t="s">
        <v>90</v>
      </c>
      <c r="C174" s="717">
        <v>15397220</v>
      </c>
      <c r="D174" s="717">
        <v>15397220</v>
      </c>
      <c r="E174" s="717">
        <v>13792999</v>
      </c>
      <c r="F174" s="857">
        <f>E174/D174*100</f>
        <v>89.581099705011681</v>
      </c>
      <c r="G174" s="1111"/>
    </row>
    <row r="175" spans="1:7" x14ac:dyDescent="0.2">
      <c r="A175" s="1551"/>
      <c r="B175" s="852" t="s">
        <v>102</v>
      </c>
      <c r="C175" s="717"/>
      <c r="D175" s="717"/>
      <c r="E175" s="717"/>
      <c r="F175" s="857"/>
      <c r="G175" s="1111"/>
    </row>
    <row r="176" spans="1:7" ht="25.5" x14ac:dyDescent="0.2">
      <c r="A176" s="1551"/>
      <c r="B176" s="852" t="s">
        <v>97</v>
      </c>
      <c r="C176" s="717">
        <v>323796</v>
      </c>
      <c r="D176" s="717">
        <v>323796</v>
      </c>
      <c r="E176" s="717">
        <v>363466</v>
      </c>
      <c r="F176" s="857">
        <f>E176/D176*100</f>
        <v>112.25154109377509</v>
      </c>
      <c r="G176" s="1111"/>
    </row>
    <row r="177" spans="1:7" x14ac:dyDescent="0.2">
      <c r="A177" s="1551"/>
      <c r="B177" s="852" t="s">
        <v>627</v>
      </c>
      <c r="C177" s="717"/>
      <c r="D177" s="717"/>
      <c r="E177" s="717"/>
      <c r="F177" s="857"/>
      <c r="G177" s="1111"/>
    </row>
    <row r="178" spans="1:7" x14ac:dyDescent="0.2">
      <c r="A178" s="1551"/>
      <c r="B178" s="852" t="s">
        <v>92</v>
      </c>
      <c r="C178" s="717">
        <v>4184396</v>
      </c>
      <c r="D178" s="717">
        <v>4184396</v>
      </c>
      <c r="E178" s="717">
        <v>653796</v>
      </c>
      <c r="F178" s="857">
        <f>E178/D178*100</f>
        <v>15.624620614301325</v>
      </c>
      <c r="G178" s="1111"/>
    </row>
    <row r="179" spans="1:7" x14ac:dyDescent="0.2">
      <c r="A179" s="1551"/>
      <c r="B179" s="852" t="s">
        <v>93</v>
      </c>
      <c r="C179" s="732"/>
      <c r="D179" s="732"/>
      <c r="E179" s="732"/>
      <c r="F179" s="857"/>
      <c r="G179" s="1111"/>
    </row>
    <row r="180" spans="1:7" x14ac:dyDescent="0.2">
      <c r="A180" s="1551"/>
      <c r="B180" s="852" t="s">
        <v>94</v>
      </c>
      <c r="C180" s="732"/>
      <c r="D180" s="732"/>
      <c r="E180" s="732"/>
      <c r="F180" s="857"/>
      <c r="G180" s="1111"/>
    </row>
    <row r="181" spans="1:7" ht="13.5" thickBot="1" x14ac:dyDescent="0.25">
      <c r="A181" s="1551"/>
      <c r="B181" s="853" t="s">
        <v>103</v>
      </c>
      <c r="C181" s="734"/>
      <c r="D181" s="734"/>
      <c r="E181" s="734"/>
      <c r="F181" s="858"/>
      <c r="G181" s="1111"/>
    </row>
    <row r="182" spans="1:7" ht="13.5" thickBot="1" x14ac:dyDescent="0.25">
      <c r="A182" s="1551"/>
      <c r="B182" s="1153" t="s">
        <v>14</v>
      </c>
      <c r="C182" s="1147">
        <f>SUM(C172:C181)</f>
        <v>19905412</v>
      </c>
      <c r="D182" s="1147">
        <f>SUM(D172:D181)</f>
        <v>19905412</v>
      </c>
      <c r="E182" s="1147">
        <f>SUM(E172:E181)</f>
        <v>14810261</v>
      </c>
      <c r="F182" s="985">
        <f>E182/D182*100</f>
        <v>74.403187434653447</v>
      </c>
      <c r="G182" s="1111"/>
    </row>
    <row r="183" spans="1:7" x14ac:dyDescent="0.2">
      <c r="A183" s="1550" t="s">
        <v>486</v>
      </c>
      <c r="B183" s="850" t="s">
        <v>88</v>
      </c>
      <c r="C183" s="867">
        <v>2538500</v>
      </c>
      <c r="D183" s="867">
        <v>3719938</v>
      </c>
      <c r="E183" s="982">
        <v>3816048</v>
      </c>
      <c r="F183" s="856">
        <f>E183/D183*100</f>
        <v>102.58364521129116</v>
      </c>
      <c r="G183" s="1111"/>
    </row>
    <row r="184" spans="1:7" ht="25.5" x14ac:dyDescent="0.2">
      <c r="A184" s="1551"/>
      <c r="B184" s="852" t="s">
        <v>101</v>
      </c>
      <c r="C184" s="868">
        <v>495100</v>
      </c>
      <c r="D184" s="868">
        <v>828465</v>
      </c>
      <c r="E184" s="983">
        <v>694828</v>
      </c>
      <c r="F184" s="857">
        <f t="shared" ref="F184:F187" si="11">E184/D184*100</f>
        <v>83.869324594279789</v>
      </c>
      <c r="G184" s="1111"/>
    </row>
    <row r="185" spans="1:7" x14ac:dyDescent="0.2">
      <c r="A185" s="1551"/>
      <c r="B185" s="852" t="s">
        <v>90</v>
      </c>
      <c r="C185" s="868">
        <v>9073000</v>
      </c>
      <c r="D185" s="868">
        <v>9885769</v>
      </c>
      <c r="E185" s="983">
        <v>9117361</v>
      </c>
      <c r="F185" s="857">
        <f t="shared" si="11"/>
        <v>92.227129725568133</v>
      </c>
      <c r="G185" s="1111"/>
    </row>
    <row r="186" spans="1:7" x14ac:dyDescent="0.2">
      <c r="A186" s="1551"/>
      <c r="B186" s="852" t="s">
        <v>102</v>
      </c>
      <c r="C186" s="868"/>
      <c r="D186" s="868"/>
      <c r="E186" s="983"/>
      <c r="F186" s="857"/>
      <c r="G186" s="1111"/>
    </row>
    <row r="187" spans="1:7" ht="25.5" x14ac:dyDescent="0.2">
      <c r="A187" s="1551"/>
      <c r="B187" s="852" t="s">
        <v>97</v>
      </c>
      <c r="C187" s="868">
        <v>1465604</v>
      </c>
      <c r="D187" s="868">
        <v>1766804</v>
      </c>
      <c r="E187" s="983">
        <v>1921268</v>
      </c>
      <c r="F187" s="857">
        <f t="shared" si="11"/>
        <v>108.74256567225341</v>
      </c>
      <c r="G187" s="1111"/>
    </row>
    <row r="188" spans="1:7" x14ac:dyDescent="0.2">
      <c r="A188" s="1551"/>
      <c r="B188" s="852" t="s">
        <v>627</v>
      </c>
      <c r="C188" s="868"/>
      <c r="D188" s="868"/>
      <c r="E188" s="983"/>
      <c r="F188" s="857"/>
      <c r="G188" s="1111"/>
    </row>
    <row r="189" spans="1:7" x14ac:dyDescent="0.2">
      <c r="A189" s="1551"/>
      <c r="B189" s="852" t="s">
        <v>92</v>
      </c>
      <c r="C189" s="868"/>
      <c r="D189" s="868"/>
      <c r="E189" s="983">
        <v>758170</v>
      </c>
      <c r="F189" s="857"/>
      <c r="G189" s="1111"/>
    </row>
    <row r="190" spans="1:7" x14ac:dyDescent="0.2">
      <c r="A190" s="1551"/>
      <c r="B190" s="852" t="s">
        <v>93</v>
      </c>
      <c r="C190" s="836"/>
      <c r="D190" s="836"/>
      <c r="E190" s="983"/>
      <c r="F190" s="857"/>
      <c r="G190" s="1111"/>
    </row>
    <row r="191" spans="1:7" x14ac:dyDescent="0.2">
      <c r="A191" s="1551"/>
      <c r="B191" s="852" t="s">
        <v>94</v>
      </c>
      <c r="C191" s="836"/>
      <c r="D191" s="836"/>
      <c r="E191" s="983"/>
      <c r="F191" s="857"/>
      <c r="G191" s="1111"/>
    </row>
    <row r="192" spans="1:7" ht="13.5" thickBot="1" x14ac:dyDescent="0.25">
      <c r="A192" s="1551"/>
      <c r="B192" s="1144" t="s">
        <v>103</v>
      </c>
      <c r="C192" s="1240"/>
      <c r="D192" s="1240"/>
      <c r="E192" s="1241"/>
      <c r="F192" s="1242"/>
      <c r="G192" s="1111"/>
    </row>
    <row r="193" spans="1:7" ht="13.5" thickBot="1" x14ac:dyDescent="0.25">
      <c r="A193" s="1551"/>
      <c r="B193" s="1237" t="s">
        <v>14</v>
      </c>
      <c r="C193" s="1238">
        <f>SUM(C183:C192)</f>
        <v>13572204</v>
      </c>
      <c r="D193" s="1238">
        <f>SUM(D183:D192)</f>
        <v>16200976</v>
      </c>
      <c r="E193" s="1238">
        <f>SUM(E183:E192)</f>
        <v>16307675</v>
      </c>
      <c r="F193" s="1239">
        <f>E193/D193*100</f>
        <v>100.65859612408536</v>
      </c>
      <c r="G193" s="1111"/>
    </row>
    <row r="194" spans="1:7" ht="13.5" thickBot="1" x14ac:dyDescent="0.25">
      <c r="A194" s="1550" t="s">
        <v>106</v>
      </c>
      <c r="B194" s="850" t="s">
        <v>88</v>
      </c>
      <c r="C194" s="844">
        <v>480000</v>
      </c>
      <c r="D194" s="844">
        <v>600000</v>
      </c>
      <c r="E194" s="844">
        <v>580000</v>
      </c>
      <c r="F194" s="856">
        <f>E194/D194*100</f>
        <v>96.666666666666671</v>
      </c>
      <c r="G194" s="1111"/>
    </row>
    <row r="195" spans="1:7" ht="26.25" thickBot="1" x14ac:dyDescent="0.25">
      <c r="A195" s="1551"/>
      <c r="B195" s="852" t="s">
        <v>101</v>
      </c>
      <c r="C195" s="717">
        <v>85000</v>
      </c>
      <c r="D195" s="717">
        <v>106060</v>
      </c>
      <c r="E195" s="717">
        <v>96390</v>
      </c>
      <c r="F195" s="856">
        <f>E195/D195*100</f>
        <v>90.88251932868188</v>
      </c>
      <c r="G195" s="1111"/>
    </row>
    <row r="196" spans="1:7" ht="13.5" thickBot="1" x14ac:dyDescent="0.25">
      <c r="A196" s="1551"/>
      <c r="B196" s="852" t="s">
        <v>90</v>
      </c>
      <c r="C196" s="717">
        <v>1907000</v>
      </c>
      <c r="D196" s="717">
        <v>2087000</v>
      </c>
      <c r="E196" s="717">
        <v>2022627</v>
      </c>
      <c r="F196" s="856">
        <f>E196/D196*100</f>
        <v>96.915524676569248</v>
      </c>
      <c r="G196" s="1111"/>
    </row>
    <row r="197" spans="1:7" ht="13.5" thickBot="1" x14ac:dyDescent="0.25">
      <c r="A197" s="1551"/>
      <c r="B197" s="852" t="s">
        <v>102</v>
      </c>
      <c r="C197" s="717"/>
      <c r="D197" s="717"/>
      <c r="E197" s="717"/>
      <c r="F197" s="856"/>
      <c r="G197" s="1111"/>
    </row>
    <row r="198" spans="1:7" ht="26.25" thickBot="1" x14ac:dyDescent="0.25">
      <c r="A198" s="1551"/>
      <c r="B198" s="852" t="s">
        <v>97</v>
      </c>
      <c r="C198" s="717"/>
      <c r="D198" s="717"/>
      <c r="E198" s="717"/>
      <c r="F198" s="856"/>
      <c r="G198" s="1111"/>
    </row>
    <row r="199" spans="1:7" ht="13.5" thickBot="1" x14ac:dyDescent="0.25">
      <c r="A199" s="1551"/>
      <c r="B199" s="852" t="s">
        <v>627</v>
      </c>
      <c r="C199" s="717"/>
      <c r="D199" s="717"/>
      <c r="E199" s="717"/>
      <c r="F199" s="856"/>
      <c r="G199" s="1111"/>
    </row>
    <row r="200" spans="1:7" ht="13.5" thickBot="1" x14ac:dyDescent="0.25">
      <c r="A200" s="1551"/>
      <c r="B200" s="852" t="s">
        <v>92</v>
      </c>
      <c r="C200" s="717"/>
      <c r="D200" s="717"/>
      <c r="E200" s="717"/>
      <c r="F200" s="856"/>
      <c r="G200" s="1111"/>
    </row>
    <row r="201" spans="1:7" ht="13.5" thickBot="1" x14ac:dyDescent="0.25">
      <c r="A201" s="1551"/>
      <c r="B201" s="852" t="s">
        <v>93</v>
      </c>
      <c r="C201" s="732"/>
      <c r="D201" s="732"/>
      <c r="E201" s="732"/>
      <c r="F201" s="856"/>
      <c r="G201" s="1111"/>
    </row>
    <row r="202" spans="1:7" ht="13.5" thickBot="1" x14ac:dyDescent="0.25">
      <c r="A202" s="1551"/>
      <c r="B202" s="852" t="s">
        <v>94</v>
      </c>
      <c r="C202" s="732"/>
      <c r="D202" s="732"/>
      <c r="E202" s="732"/>
      <c r="F202" s="856"/>
      <c r="G202" s="1111"/>
    </row>
    <row r="203" spans="1:7" ht="13.5" thickBot="1" x14ac:dyDescent="0.25">
      <c r="A203" s="1551"/>
      <c r="B203" s="853" t="s">
        <v>103</v>
      </c>
      <c r="C203" s="734"/>
      <c r="D203" s="734"/>
      <c r="E203" s="734"/>
      <c r="F203" s="856"/>
      <c r="G203" s="1111"/>
    </row>
    <row r="204" spans="1:7" ht="13.5" thickBot="1" x14ac:dyDescent="0.25">
      <c r="A204" s="1551"/>
      <c r="B204" s="848" t="s">
        <v>14</v>
      </c>
      <c r="C204" s="740">
        <f>SUM(C194:C203)</f>
        <v>2472000</v>
      </c>
      <c r="D204" s="740">
        <f>SUM(D194:D203)</f>
        <v>2793060</v>
      </c>
      <c r="E204" s="740">
        <f>SUM(E194:E203)</f>
        <v>2699017</v>
      </c>
      <c r="F204" s="849">
        <f>E204/D204*100</f>
        <v>96.632976019133139</v>
      </c>
      <c r="G204" s="1111"/>
    </row>
    <row r="205" spans="1:7" ht="13.5" thickBot="1" x14ac:dyDescent="0.25">
      <c r="A205" s="1550" t="s">
        <v>107</v>
      </c>
      <c r="B205" s="850" t="s">
        <v>88</v>
      </c>
      <c r="C205" s="844"/>
      <c r="D205" s="844"/>
      <c r="E205" s="844"/>
      <c r="F205" s="856"/>
      <c r="G205" s="1111"/>
    </row>
    <row r="206" spans="1:7" ht="26.25" thickBot="1" x14ac:dyDescent="0.25">
      <c r="A206" s="1551"/>
      <c r="B206" s="852" t="s">
        <v>101</v>
      </c>
      <c r="C206" s="717"/>
      <c r="D206" s="717"/>
      <c r="E206" s="717"/>
      <c r="F206" s="856"/>
      <c r="G206" s="1111"/>
    </row>
    <row r="207" spans="1:7" ht="13.5" thickBot="1" x14ac:dyDescent="0.25">
      <c r="A207" s="1551"/>
      <c r="B207" s="852" t="s">
        <v>90</v>
      </c>
      <c r="C207" s="717"/>
      <c r="D207" s="717">
        <v>11786139</v>
      </c>
      <c r="E207" s="717">
        <v>6711310</v>
      </c>
      <c r="F207" s="984">
        <f t="shared" ref="F207" si="12">E207/D207*100</f>
        <v>56.942396487942318</v>
      </c>
      <c r="G207" s="1111"/>
    </row>
    <row r="208" spans="1:7" ht="13.5" thickBot="1" x14ac:dyDescent="0.25">
      <c r="A208" s="1551"/>
      <c r="B208" s="852" t="s">
        <v>102</v>
      </c>
      <c r="C208" s="717"/>
      <c r="D208" s="717"/>
      <c r="E208" s="717"/>
      <c r="F208" s="984"/>
      <c r="G208" s="1111"/>
    </row>
    <row r="209" spans="1:7" ht="26.25" thickBot="1" x14ac:dyDescent="0.25">
      <c r="A209" s="1551"/>
      <c r="B209" s="852" t="s">
        <v>97</v>
      </c>
      <c r="C209" s="717">
        <v>11786139</v>
      </c>
      <c r="D209" s="717"/>
      <c r="E209" s="717"/>
      <c r="F209" s="984"/>
      <c r="G209" s="1111"/>
    </row>
    <row r="210" spans="1:7" ht="13.5" thickBot="1" x14ac:dyDescent="0.25">
      <c r="A210" s="1551"/>
      <c r="B210" s="852" t="s">
        <v>627</v>
      </c>
      <c r="C210" s="717"/>
      <c r="D210" s="717"/>
      <c r="E210" s="717"/>
      <c r="F210" s="856"/>
      <c r="G210" s="1111"/>
    </row>
    <row r="211" spans="1:7" ht="13.5" thickBot="1" x14ac:dyDescent="0.25">
      <c r="A211" s="1551"/>
      <c r="B211" s="852" t="s">
        <v>92</v>
      </c>
      <c r="C211" s="717"/>
      <c r="D211" s="717"/>
      <c r="E211" s="717"/>
      <c r="F211" s="856"/>
      <c r="G211" s="1111"/>
    </row>
    <row r="212" spans="1:7" ht="13.5" thickBot="1" x14ac:dyDescent="0.25">
      <c r="A212" s="1551"/>
      <c r="B212" s="852" t="s">
        <v>93</v>
      </c>
      <c r="C212" s="732"/>
      <c r="D212" s="732"/>
      <c r="E212" s="732"/>
      <c r="F212" s="856"/>
      <c r="G212" s="1111"/>
    </row>
    <row r="213" spans="1:7" ht="13.5" thickBot="1" x14ac:dyDescent="0.25">
      <c r="A213" s="1551"/>
      <c r="B213" s="852" t="s">
        <v>94</v>
      </c>
      <c r="C213" s="732"/>
      <c r="D213" s="732"/>
      <c r="E213" s="732"/>
      <c r="F213" s="856"/>
      <c r="G213" s="1111"/>
    </row>
    <row r="214" spans="1:7" ht="13.5" thickBot="1" x14ac:dyDescent="0.25">
      <c r="A214" s="1551"/>
      <c r="B214" s="853" t="s">
        <v>103</v>
      </c>
      <c r="C214" s="734"/>
      <c r="D214" s="734"/>
      <c r="E214" s="734"/>
      <c r="F214" s="856"/>
      <c r="G214" s="1111"/>
    </row>
    <row r="215" spans="1:7" ht="13.5" thickBot="1" x14ac:dyDescent="0.25">
      <c r="A215" s="1551"/>
      <c r="B215" s="848" t="s">
        <v>14</v>
      </c>
      <c r="C215" s="740">
        <f>SUM(C205:C214)</f>
        <v>11786139</v>
      </c>
      <c r="D215" s="740">
        <f>SUM(D205:D214)</f>
        <v>11786139</v>
      </c>
      <c r="E215" s="740">
        <f>SUM(E205:E214)</f>
        <v>6711310</v>
      </c>
      <c r="F215" s="849">
        <f>E215/D215*100</f>
        <v>56.942396487942318</v>
      </c>
      <c r="G215" s="1111"/>
    </row>
    <row r="216" spans="1:7" ht="13.5" thickBot="1" x14ac:dyDescent="0.25">
      <c r="A216" s="860" t="s">
        <v>73</v>
      </c>
      <c r="B216" s="861" t="s">
        <v>24</v>
      </c>
      <c r="C216" s="862" t="s">
        <v>155</v>
      </c>
      <c r="D216" s="862" t="s">
        <v>148</v>
      </c>
      <c r="E216" s="862" t="s">
        <v>149</v>
      </c>
      <c r="F216" s="863" t="s">
        <v>150</v>
      </c>
      <c r="G216" s="1111"/>
    </row>
    <row r="217" spans="1:7" x14ac:dyDescent="0.2">
      <c r="A217" s="1550" t="s">
        <v>162</v>
      </c>
      <c r="B217" s="850" t="s">
        <v>88</v>
      </c>
      <c r="C217" s="844"/>
      <c r="D217" s="844"/>
      <c r="E217" s="844"/>
      <c r="F217" s="856"/>
      <c r="G217" s="1111"/>
    </row>
    <row r="218" spans="1:7" ht="25.5" x14ac:dyDescent="0.2">
      <c r="A218" s="1551"/>
      <c r="B218" s="852" t="s">
        <v>101</v>
      </c>
      <c r="C218" s="717"/>
      <c r="D218" s="717"/>
      <c r="E218" s="717"/>
      <c r="F218" s="857"/>
      <c r="G218" s="1111"/>
    </row>
    <row r="219" spans="1:7" x14ac:dyDescent="0.2">
      <c r="A219" s="1551"/>
      <c r="B219" s="852" t="s">
        <v>90</v>
      </c>
      <c r="C219" s="717">
        <v>2884000</v>
      </c>
      <c r="D219" s="717">
        <v>16129431</v>
      </c>
      <c r="E219" s="717">
        <v>15421490</v>
      </c>
      <c r="F219" s="857">
        <f>E219/D219*100</f>
        <v>95.610874307965361</v>
      </c>
      <c r="G219" s="1111"/>
    </row>
    <row r="220" spans="1:7" x14ac:dyDescent="0.2">
      <c r="A220" s="1551"/>
      <c r="B220" s="852" t="s">
        <v>102</v>
      </c>
      <c r="C220" s="717"/>
      <c r="D220" s="717"/>
      <c r="E220" s="717"/>
      <c r="F220" s="857"/>
      <c r="G220" s="1111"/>
    </row>
    <row r="221" spans="1:7" ht="25.5" x14ac:dyDescent="0.2">
      <c r="A221" s="1551"/>
      <c r="B221" s="852" t="s">
        <v>97</v>
      </c>
      <c r="C221" s="717">
        <v>691414</v>
      </c>
      <c r="D221" s="717">
        <v>776122</v>
      </c>
      <c r="E221" s="717">
        <v>776122</v>
      </c>
      <c r="F221" s="857">
        <f>E221/D221*100</f>
        <v>100</v>
      </c>
      <c r="G221" s="1111"/>
    </row>
    <row r="222" spans="1:7" x14ac:dyDescent="0.2">
      <c r="A222" s="1551"/>
      <c r="B222" s="852" t="s">
        <v>627</v>
      </c>
      <c r="C222" s="717"/>
      <c r="D222" s="717"/>
      <c r="E222" s="717"/>
      <c r="F222" s="857"/>
      <c r="G222" s="1111"/>
    </row>
    <row r="223" spans="1:7" x14ac:dyDescent="0.2">
      <c r="A223" s="1551"/>
      <c r="B223" s="852" t="s">
        <v>92</v>
      </c>
      <c r="C223" s="717"/>
      <c r="D223" s="717"/>
      <c r="E223" s="717"/>
      <c r="F223" s="857"/>
      <c r="G223" s="1111"/>
    </row>
    <row r="224" spans="1:7" x14ac:dyDescent="0.2">
      <c r="A224" s="1551"/>
      <c r="B224" s="852" t="s">
        <v>93</v>
      </c>
      <c r="C224" s="732"/>
      <c r="D224" s="732"/>
      <c r="E224" s="732"/>
      <c r="F224" s="857"/>
      <c r="G224" s="1111"/>
    </row>
    <row r="225" spans="1:7" x14ac:dyDescent="0.2">
      <c r="A225" s="1551"/>
      <c r="B225" s="852" t="s">
        <v>94</v>
      </c>
      <c r="C225" s="732"/>
      <c r="D225" s="732"/>
      <c r="E225" s="732"/>
      <c r="F225" s="857"/>
      <c r="G225" s="1111"/>
    </row>
    <row r="226" spans="1:7" ht="13.5" thickBot="1" x14ac:dyDescent="0.25">
      <c r="A226" s="1551"/>
      <c r="B226" s="853" t="s">
        <v>103</v>
      </c>
      <c r="C226" s="734"/>
      <c r="D226" s="734"/>
      <c r="E226" s="734"/>
      <c r="F226" s="858"/>
      <c r="G226" s="1111"/>
    </row>
    <row r="227" spans="1:7" ht="13.5" thickBot="1" x14ac:dyDescent="0.25">
      <c r="A227" s="1551"/>
      <c r="B227" s="848" t="s">
        <v>14</v>
      </c>
      <c r="C227" s="740">
        <f>SUM(C217:C226)</f>
        <v>3575414</v>
      </c>
      <c r="D227" s="740">
        <f>SUM(D217:D226)</f>
        <v>16905553</v>
      </c>
      <c r="E227" s="740">
        <f>SUM(E217:E226)</f>
        <v>16197612</v>
      </c>
      <c r="F227" s="849">
        <f>E227/D227*100</f>
        <v>95.812375969008528</v>
      </c>
      <c r="G227" s="1111"/>
    </row>
    <row r="228" spans="1:7" x14ac:dyDescent="0.2">
      <c r="A228" s="1550" t="s">
        <v>630</v>
      </c>
      <c r="B228" s="850" t="s">
        <v>88</v>
      </c>
      <c r="C228" s="844"/>
      <c r="D228" s="844"/>
      <c r="E228" s="844"/>
      <c r="F228" s="851"/>
      <c r="G228" s="1111"/>
    </row>
    <row r="229" spans="1:7" ht="25.5" x14ac:dyDescent="0.2">
      <c r="A229" s="1551"/>
      <c r="B229" s="852" t="s">
        <v>101</v>
      </c>
      <c r="C229" s="717"/>
      <c r="D229" s="717"/>
      <c r="E229" s="717"/>
      <c r="F229" s="845"/>
      <c r="G229" s="1111"/>
    </row>
    <row r="230" spans="1:7" x14ac:dyDescent="0.2">
      <c r="A230" s="1551"/>
      <c r="B230" s="852" t="s">
        <v>90</v>
      </c>
      <c r="C230" s="717">
        <v>279400</v>
      </c>
      <c r="D230" s="717">
        <v>279400</v>
      </c>
      <c r="E230" s="717">
        <v>80000</v>
      </c>
      <c r="F230" s="845">
        <f>E230/D230%</f>
        <v>28.632784538296349</v>
      </c>
      <c r="G230" s="1111"/>
    </row>
    <row r="231" spans="1:7" x14ac:dyDescent="0.2">
      <c r="A231" s="1551"/>
      <c r="B231" s="852" t="s">
        <v>102</v>
      </c>
      <c r="C231" s="717"/>
      <c r="D231" s="717"/>
      <c r="E231" s="717"/>
      <c r="F231" s="845"/>
      <c r="G231" s="1111"/>
    </row>
    <row r="232" spans="1:7" ht="25.5" x14ac:dyDescent="0.2">
      <c r="A232" s="1551"/>
      <c r="B232" s="852" t="s">
        <v>97</v>
      </c>
      <c r="C232" s="717"/>
      <c r="D232" s="717"/>
      <c r="E232" s="717"/>
      <c r="F232" s="845"/>
      <c r="G232" s="1111"/>
    </row>
    <row r="233" spans="1:7" x14ac:dyDescent="0.2">
      <c r="A233" s="1551"/>
      <c r="B233" s="852" t="s">
        <v>627</v>
      </c>
      <c r="C233" s="717"/>
      <c r="D233" s="717"/>
      <c r="E233" s="717"/>
      <c r="F233" s="845"/>
      <c r="G233" s="1111"/>
    </row>
    <row r="234" spans="1:7" x14ac:dyDescent="0.2">
      <c r="A234" s="1551"/>
      <c r="B234" s="852" t="s">
        <v>92</v>
      </c>
      <c r="C234" s="717"/>
      <c r="D234" s="717"/>
      <c r="E234" s="717"/>
      <c r="F234" s="845"/>
      <c r="G234" s="1111"/>
    </row>
    <row r="235" spans="1:7" x14ac:dyDescent="0.2">
      <c r="A235" s="1551"/>
      <c r="B235" s="852" t="s">
        <v>93</v>
      </c>
      <c r="C235" s="732"/>
      <c r="D235" s="732"/>
      <c r="E235" s="732"/>
      <c r="F235" s="845"/>
      <c r="G235" s="1111"/>
    </row>
    <row r="236" spans="1:7" x14ac:dyDescent="0.2">
      <c r="A236" s="1551"/>
      <c r="B236" s="852" t="s">
        <v>94</v>
      </c>
      <c r="C236" s="732"/>
      <c r="D236" s="732"/>
      <c r="E236" s="732"/>
      <c r="F236" s="845"/>
      <c r="G236" s="1111"/>
    </row>
    <row r="237" spans="1:7" ht="13.5" thickBot="1" x14ac:dyDescent="0.25">
      <c r="A237" s="1551"/>
      <c r="B237" s="853" t="s">
        <v>103</v>
      </c>
      <c r="C237" s="734"/>
      <c r="D237" s="734"/>
      <c r="E237" s="734"/>
      <c r="F237" s="854"/>
      <c r="G237" s="1111"/>
    </row>
    <row r="238" spans="1:7" ht="13.5" thickBot="1" x14ac:dyDescent="0.25">
      <c r="A238" s="1551"/>
      <c r="B238" s="848" t="s">
        <v>14</v>
      </c>
      <c r="C238" s="740">
        <f>SUM(C228:C237)</f>
        <v>279400</v>
      </c>
      <c r="D238" s="740">
        <f>SUM(D228:D237)</f>
        <v>279400</v>
      </c>
      <c r="E238" s="740">
        <f>SUM(E228:E237)</f>
        <v>80000</v>
      </c>
      <c r="F238" s="849">
        <f>E238/D238*100</f>
        <v>28.632784538296352</v>
      </c>
      <c r="G238" s="1111"/>
    </row>
    <row r="239" spans="1:7" x14ac:dyDescent="0.2">
      <c r="A239" s="1550" t="s">
        <v>538</v>
      </c>
      <c r="B239" s="850" t="s">
        <v>88</v>
      </c>
      <c r="C239" s="844"/>
      <c r="D239" s="844"/>
      <c r="E239" s="844"/>
      <c r="F239" s="856"/>
      <c r="G239" s="1111"/>
    </row>
    <row r="240" spans="1:7" ht="25.5" x14ac:dyDescent="0.2">
      <c r="A240" s="1551"/>
      <c r="B240" s="852" t="s">
        <v>101</v>
      </c>
      <c r="C240" s="717"/>
      <c r="D240" s="717"/>
      <c r="E240" s="717"/>
      <c r="F240" s="857"/>
      <c r="G240" s="1111"/>
    </row>
    <row r="241" spans="1:7" x14ac:dyDescent="0.2">
      <c r="A241" s="1551"/>
      <c r="B241" s="852" t="s">
        <v>90</v>
      </c>
      <c r="C241" s="717">
        <v>127000</v>
      </c>
      <c r="D241" s="717">
        <v>207000</v>
      </c>
      <c r="E241" s="717"/>
      <c r="F241" s="857"/>
      <c r="G241" s="1111"/>
    </row>
    <row r="242" spans="1:7" x14ac:dyDescent="0.2">
      <c r="A242" s="1551"/>
      <c r="B242" s="852" t="s">
        <v>102</v>
      </c>
      <c r="C242" s="717"/>
      <c r="D242" s="717"/>
      <c r="E242" s="717"/>
      <c r="F242" s="857"/>
      <c r="G242" s="1111"/>
    </row>
    <row r="243" spans="1:7" ht="25.5" x14ac:dyDescent="0.2">
      <c r="A243" s="1551"/>
      <c r="B243" s="852" t="s">
        <v>97</v>
      </c>
      <c r="C243" s="717"/>
      <c r="D243" s="717"/>
      <c r="E243" s="717"/>
      <c r="F243" s="857"/>
      <c r="G243" s="1111"/>
    </row>
    <row r="244" spans="1:7" x14ac:dyDescent="0.2">
      <c r="A244" s="1551"/>
      <c r="B244" s="852" t="s">
        <v>627</v>
      </c>
      <c r="C244" s="717"/>
      <c r="D244" s="717"/>
      <c r="E244" s="717"/>
      <c r="F244" s="857"/>
      <c r="G244" s="1111"/>
    </row>
    <row r="245" spans="1:7" x14ac:dyDescent="0.2">
      <c r="A245" s="1551"/>
      <c r="B245" s="852" t="s">
        <v>92</v>
      </c>
      <c r="C245" s="717"/>
      <c r="D245" s="717"/>
      <c r="E245" s="717"/>
      <c r="F245" s="857"/>
      <c r="G245" s="1111"/>
    </row>
    <row r="246" spans="1:7" x14ac:dyDescent="0.2">
      <c r="A246" s="1551"/>
      <c r="B246" s="852" t="s">
        <v>93</v>
      </c>
      <c r="C246" s="732"/>
      <c r="D246" s="732"/>
      <c r="E246" s="732"/>
      <c r="F246" s="857"/>
      <c r="G246" s="1111"/>
    </row>
    <row r="247" spans="1:7" x14ac:dyDescent="0.2">
      <c r="A247" s="1551"/>
      <c r="B247" s="852" t="s">
        <v>94</v>
      </c>
      <c r="C247" s="732"/>
      <c r="D247" s="732"/>
      <c r="E247" s="732"/>
      <c r="F247" s="857"/>
      <c r="G247" s="1111"/>
    </row>
    <row r="248" spans="1:7" ht="13.5" thickBot="1" x14ac:dyDescent="0.25">
      <c r="A248" s="1551"/>
      <c r="B248" s="853" t="s">
        <v>103</v>
      </c>
      <c r="C248" s="734"/>
      <c r="D248" s="734"/>
      <c r="E248" s="734"/>
      <c r="F248" s="854"/>
      <c r="G248" s="1111"/>
    </row>
    <row r="249" spans="1:7" ht="13.5" thickBot="1" x14ac:dyDescent="0.25">
      <c r="A249" s="1551"/>
      <c r="B249" s="848" t="s">
        <v>14</v>
      </c>
      <c r="C249" s="740">
        <f>SUM(C239:C248)</f>
        <v>127000</v>
      </c>
      <c r="D249" s="740">
        <f>SUM(D239:D248)</f>
        <v>207000</v>
      </c>
      <c r="E249" s="990">
        <f>SUM(E239:E248)</f>
        <v>0</v>
      </c>
      <c r="F249" s="992"/>
      <c r="G249" s="1111"/>
    </row>
    <row r="250" spans="1:7" x14ac:dyDescent="0.2">
      <c r="A250" s="1550" t="s">
        <v>577</v>
      </c>
      <c r="B250" s="850" t="s">
        <v>88</v>
      </c>
      <c r="C250" s="844"/>
      <c r="D250" s="844"/>
      <c r="E250" s="986"/>
      <c r="F250" s="1154"/>
      <c r="G250" s="1111"/>
    </row>
    <row r="251" spans="1:7" ht="25.5" x14ac:dyDescent="0.2">
      <c r="A251" s="1551"/>
      <c r="B251" s="852" t="s">
        <v>101</v>
      </c>
      <c r="C251" s="717"/>
      <c r="D251" s="717"/>
      <c r="E251" s="987"/>
      <c r="F251" s="717"/>
      <c r="G251" s="1111"/>
    </row>
    <row r="252" spans="1:7" x14ac:dyDescent="0.2">
      <c r="A252" s="1551"/>
      <c r="B252" s="852" t="s">
        <v>90</v>
      </c>
      <c r="C252" s="717"/>
      <c r="D252" s="717"/>
      <c r="E252" s="987"/>
      <c r="F252" s="717"/>
      <c r="G252" s="1111"/>
    </row>
    <row r="253" spans="1:7" x14ac:dyDescent="0.2">
      <c r="A253" s="1551"/>
      <c r="B253" s="852" t="s">
        <v>102</v>
      </c>
      <c r="C253" s="717"/>
      <c r="D253" s="717"/>
      <c r="E253" s="987"/>
      <c r="F253" s="717"/>
      <c r="G253" s="1111"/>
    </row>
    <row r="254" spans="1:7" ht="25.5" x14ac:dyDescent="0.2">
      <c r="A254" s="1551"/>
      <c r="B254" s="852" t="s">
        <v>97</v>
      </c>
      <c r="C254" s="717"/>
      <c r="D254" s="717"/>
      <c r="E254" s="987"/>
      <c r="F254" s="717"/>
      <c r="G254" s="1111"/>
    </row>
    <row r="255" spans="1:7" x14ac:dyDescent="0.2">
      <c r="A255" s="1551"/>
      <c r="B255" s="852" t="s">
        <v>627</v>
      </c>
      <c r="C255" s="717"/>
      <c r="D255" s="717"/>
      <c r="E255" s="987"/>
      <c r="F255" s="717"/>
      <c r="G255" s="1111"/>
    </row>
    <row r="256" spans="1:7" x14ac:dyDescent="0.2">
      <c r="A256" s="1551"/>
      <c r="B256" s="852" t="s">
        <v>92</v>
      </c>
      <c r="C256" s="717"/>
      <c r="D256" s="717"/>
      <c r="E256" s="987"/>
      <c r="F256" s="717"/>
      <c r="G256" s="1111"/>
    </row>
    <row r="257" spans="1:7" x14ac:dyDescent="0.2">
      <c r="A257" s="1551"/>
      <c r="B257" s="852" t="s">
        <v>93</v>
      </c>
      <c r="C257" s="732">
        <v>2024000</v>
      </c>
      <c r="D257" s="732">
        <v>2024000</v>
      </c>
      <c r="E257" s="988">
        <v>2024000</v>
      </c>
      <c r="F257" s="717">
        <f>E257/D257*100</f>
        <v>100</v>
      </c>
      <c r="G257" s="1111"/>
    </row>
    <row r="258" spans="1:7" x14ac:dyDescent="0.2">
      <c r="A258" s="1551"/>
      <c r="B258" s="852" t="s">
        <v>94</v>
      </c>
      <c r="C258" s="732"/>
      <c r="D258" s="732"/>
      <c r="E258" s="988"/>
      <c r="F258" s="717"/>
      <c r="G258" s="1111"/>
    </row>
    <row r="259" spans="1:7" ht="13.5" thickBot="1" x14ac:dyDescent="0.25">
      <c r="A259" s="1551"/>
      <c r="B259" s="853" t="s">
        <v>103</v>
      </c>
      <c r="C259" s="734"/>
      <c r="D259" s="734"/>
      <c r="E259" s="989"/>
      <c r="F259" s="991"/>
      <c r="G259" s="1111"/>
    </row>
    <row r="260" spans="1:7" ht="13.5" thickBot="1" x14ac:dyDescent="0.25">
      <c r="A260" s="1551"/>
      <c r="B260" s="848" t="s">
        <v>14</v>
      </c>
      <c r="C260" s="740">
        <f>SUM(C250:C259)</f>
        <v>2024000</v>
      </c>
      <c r="D260" s="740">
        <f>SUM(D250:D259)</f>
        <v>2024000</v>
      </c>
      <c r="E260" s="990">
        <f>SUM(E250:E259)</f>
        <v>2024000</v>
      </c>
      <c r="F260" s="992">
        <f>E260/D260*100</f>
        <v>100</v>
      </c>
      <c r="G260" s="1111"/>
    </row>
    <row r="261" spans="1:7" x14ac:dyDescent="0.2">
      <c r="A261" s="1550" t="s">
        <v>487</v>
      </c>
      <c r="B261" s="850" t="s">
        <v>88</v>
      </c>
      <c r="C261" s="844"/>
      <c r="D261" s="844"/>
      <c r="E261" s="986"/>
      <c r="F261" s="1154"/>
      <c r="G261" s="1111"/>
    </row>
    <row r="262" spans="1:7" ht="25.5" x14ac:dyDescent="0.2">
      <c r="A262" s="1551"/>
      <c r="B262" s="852" t="s">
        <v>101</v>
      </c>
      <c r="C262" s="717"/>
      <c r="D262" s="717"/>
      <c r="E262" s="987"/>
      <c r="F262" s="717"/>
      <c r="G262" s="1111"/>
    </row>
    <row r="263" spans="1:7" x14ac:dyDescent="0.2">
      <c r="A263" s="1551"/>
      <c r="B263" s="852" t="s">
        <v>90</v>
      </c>
      <c r="C263" s="717"/>
      <c r="D263" s="717">
        <v>268210</v>
      </c>
      <c r="E263" s="987">
        <v>249340</v>
      </c>
      <c r="F263" s="717">
        <f t="shared" ref="F263" si="13">E263/D263*100</f>
        <v>92.964468140636072</v>
      </c>
      <c r="G263" s="1111"/>
    </row>
    <row r="264" spans="1:7" x14ac:dyDescent="0.2">
      <c r="A264" s="1551"/>
      <c r="B264" s="852" t="s">
        <v>102</v>
      </c>
      <c r="C264" s="717"/>
      <c r="D264" s="717"/>
      <c r="E264" s="987"/>
      <c r="F264" s="717"/>
      <c r="G264" s="1111"/>
    </row>
    <row r="265" spans="1:7" ht="25.5" x14ac:dyDescent="0.2">
      <c r="A265" s="1551"/>
      <c r="B265" s="852" t="s">
        <v>97</v>
      </c>
      <c r="C265" s="717"/>
      <c r="D265" s="717"/>
      <c r="E265" s="987"/>
      <c r="F265" s="717"/>
      <c r="G265" s="1111"/>
    </row>
    <row r="266" spans="1:7" x14ac:dyDescent="0.2">
      <c r="A266" s="1551"/>
      <c r="B266" s="852" t="s">
        <v>627</v>
      </c>
      <c r="C266" s="717"/>
      <c r="D266" s="717"/>
      <c r="E266" s="987"/>
      <c r="F266" s="717"/>
      <c r="G266" s="1111"/>
    </row>
    <row r="267" spans="1:7" x14ac:dyDescent="0.2">
      <c r="A267" s="1551"/>
      <c r="B267" s="852" t="s">
        <v>92</v>
      </c>
      <c r="C267" s="717"/>
      <c r="D267" s="717">
        <v>29290</v>
      </c>
      <c r="E267" s="987">
        <v>29290</v>
      </c>
      <c r="F267" s="717">
        <f>E267/D267*100</f>
        <v>100</v>
      </c>
      <c r="G267" s="1111"/>
    </row>
    <row r="268" spans="1:7" x14ac:dyDescent="0.2">
      <c r="A268" s="1551"/>
      <c r="B268" s="852" t="s">
        <v>93</v>
      </c>
      <c r="C268" s="732"/>
      <c r="D268" s="732"/>
      <c r="E268" s="988"/>
      <c r="F268" s="717"/>
      <c r="G268" s="1111"/>
    </row>
    <row r="269" spans="1:7" x14ac:dyDescent="0.2">
      <c r="A269" s="1551"/>
      <c r="B269" s="852" t="s">
        <v>94</v>
      </c>
      <c r="C269" s="732"/>
      <c r="D269" s="732"/>
      <c r="E269" s="988"/>
      <c r="F269" s="717"/>
      <c r="G269" s="1111"/>
    </row>
    <row r="270" spans="1:7" ht="13.5" thickBot="1" x14ac:dyDescent="0.25">
      <c r="A270" s="1551"/>
      <c r="B270" s="853" t="s">
        <v>103</v>
      </c>
      <c r="C270" s="734"/>
      <c r="D270" s="734"/>
      <c r="E270" s="989"/>
      <c r="F270" s="991"/>
      <c r="G270" s="1111"/>
    </row>
    <row r="271" spans="1:7" ht="13.5" thickBot="1" x14ac:dyDescent="0.25">
      <c r="A271" s="1551"/>
      <c r="B271" s="848" t="s">
        <v>14</v>
      </c>
      <c r="C271" s="740">
        <f>SUM(C261:C270)</f>
        <v>0</v>
      </c>
      <c r="D271" s="740">
        <f>SUM(D261:D270)</f>
        <v>297500</v>
      </c>
      <c r="E271" s="990">
        <f>SUM(E261:E270)</f>
        <v>278630</v>
      </c>
      <c r="F271" s="992">
        <f>E271/D271*100</f>
        <v>93.657142857142858</v>
      </c>
      <c r="G271" s="1111"/>
    </row>
    <row r="272" spans="1:7" ht="13.5" thickBot="1" x14ac:dyDescent="0.25">
      <c r="A272" s="860" t="s">
        <v>73</v>
      </c>
      <c r="B272" s="861" t="s">
        <v>24</v>
      </c>
      <c r="C272" s="862" t="s">
        <v>155</v>
      </c>
      <c r="D272" s="862" t="s">
        <v>148</v>
      </c>
      <c r="E272" s="862" t="s">
        <v>149</v>
      </c>
      <c r="F272" s="863" t="s">
        <v>150</v>
      </c>
      <c r="G272" s="1111"/>
    </row>
    <row r="273" spans="1:7" ht="13.15" customHeight="1" x14ac:dyDescent="0.2">
      <c r="A273" s="1550" t="s">
        <v>156</v>
      </c>
      <c r="B273" s="850" t="s">
        <v>88</v>
      </c>
      <c r="C273" s="844"/>
      <c r="D273" s="844"/>
      <c r="E273" s="844"/>
      <c r="F273" s="851"/>
      <c r="G273" s="1111"/>
    </row>
    <row r="274" spans="1:7" ht="25.5" x14ac:dyDescent="0.2">
      <c r="A274" s="1551"/>
      <c r="B274" s="852" t="s">
        <v>101</v>
      </c>
      <c r="C274" s="717"/>
      <c r="D274" s="717"/>
      <c r="E274" s="717"/>
      <c r="F274" s="845"/>
      <c r="G274" s="1111"/>
    </row>
    <row r="275" spans="1:7" x14ac:dyDescent="0.2">
      <c r="A275" s="1551"/>
      <c r="B275" s="852" t="s">
        <v>90</v>
      </c>
      <c r="C275" s="717">
        <v>432020</v>
      </c>
      <c r="D275" s="717">
        <v>432020</v>
      </c>
      <c r="E275" s="717">
        <v>432020</v>
      </c>
      <c r="F275" s="717">
        <f t="shared" ref="F275" si="14">E275/D275*100</f>
        <v>100</v>
      </c>
      <c r="G275" s="1111"/>
    </row>
    <row r="276" spans="1:7" x14ac:dyDescent="0.2">
      <c r="A276" s="1551"/>
      <c r="B276" s="852" t="s">
        <v>102</v>
      </c>
      <c r="C276" s="717"/>
      <c r="D276" s="717"/>
      <c r="E276" s="717"/>
      <c r="F276" s="717"/>
      <c r="G276" s="1111"/>
    </row>
    <row r="277" spans="1:7" ht="25.5" x14ac:dyDescent="0.2">
      <c r="A277" s="1551"/>
      <c r="B277" s="852" t="s">
        <v>97</v>
      </c>
      <c r="C277" s="717">
        <v>445524</v>
      </c>
      <c r="D277" s="717">
        <v>445524</v>
      </c>
      <c r="E277" s="717">
        <v>754498</v>
      </c>
      <c r="F277" s="717">
        <f>E277/D277*100</f>
        <v>169.3506971566066</v>
      </c>
      <c r="G277" s="1111"/>
    </row>
    <row r="278" spans="1:7" x14ac:dyDescent="0.2">
      <c r="A278" s="1551"/>
      <c r="B278" s="852" t="s">
        <v>627</v>
      </c>
      <c r="C278" s="717"/>
      <c r="D278" s="717"/>
      <c r="E278" s="717"/>
      <c r="F278" s="845"/>
      <c r="G278" s="1111"/>
    </row>
    <row r="279" spans="1:7" ht="13.5" thickBot="1" x14ac:dyDescent="0.25">
      <c r="A279" s="1551"/>
      <c r="B279" s="852" t="s">
        <v>92</v>
      </c>
      <c r="C279" s="717"/>
      <c r="D279" s="717"/>
      <c r="E279" s="717"/>
      <c r="F279" s="845"/>
      <c r="G279" s="1111"/>
    </row>
    <row r="280" spans="1:7" ht="13.5" thickBot="1" x14ac:dyDescent="0.25">
      <c r="A280" s="1551"/>
      <c r="B280" s="852" t="s">
        <v>93</v>
      </c>
      <c r="C280" s="732"/>
      <c r="D280" s="732"/>
      <c r="E280" s="732"/>
      <c r="F280" s="849"/>
      <c r="G280" s="1111"/>
    </row>
    <row r="281" spans="1:7" x14ac:dyDescent="0.2">
      <c r="A281" s="1551"/>
      <c r="B281" s="852" t="s">
        <v>94</v>
      </c>
      <c r="C281" s="732"/>
      <c r="D281" s="732"/>
      <c r="E281" s="732"/>
      <c r="F281" s="845"/>
      <c r="G281" s="1111"/>
    </row>
    <row r="282" spans="1:7" ht="13.5" thickBot="1" x14ac:dyDescent="0.25">
      <c r="A282" s="1551"/>
      <c r="B282" s="853" t="s">
        <v>103</v>
      </c>
      <c r="C282" s="734"/>
      <c r="D282" s="734"/>
      <c r="E282" s="734"/>
      <c r="F282" s="854"/>
      <c r="G282" s="1111"/>
    </row>
    <row r="283" spans="1:7" ht="13.5" thickBot="1" x14ac:dyDescent="0.25">
      <c r="A283" s="1551"/>
      <c r="B283" s="848" t="s">
        <v>14</v>
      </c>
      <c r="C283" s="740">
        <f>SUM(C273:C282)</f>
        <v>877544</v>
      </c>
      <c r="D283" s="740">
        <f>SUM(D273:D282)</f>
        <v>877544</v>
      </c>
      <c r="E283" s="740">
        <f>SUM(E273:E282)</f>
        <v>1186518</v>
      </c>
      <c r="F283" s="849">
        <f>E283/D283*100</f>
        <v>135.20894678785339</v>
      </c>
      <c r="G283" s="1111"/>
    </row>
    <row r="284" spans="1:7" x14ac:dyDescent="0.2">
      <c r="A284" s="1550" t="s">
        <v>144</v>
      </c>
      <c r="B284" s="850" t="s">
        <v>88</v>
      </c>
      <c r="C284" s="844"/>
      <c r="D284" s="844"/>
      <c r="E284" s="844"/>
      <c r="F284" s="856"/>
      <c r="G284" s="1111"/>
    </row>
    <row r="285" spans="1:7" ht="25.5" x14ac:dyDescent="0.2">
      <c r="A285" s="1551"/>
      <c r="B285" s="852" t="s">
        <v>101</v>
      </c>
      <c r="C285" s="717"/>
      <c r="D285" s="717"/>
      <c r="E285" s="717"/>
      <c r="F285" s="857"/>
      <c r="G285" s="1111"/>
    </row>
    <row r="286" spans="1:7" x14ac:dyDescent="0.2">
      <c r="A286" s="1551"/>
      <c r="B286" s="852" t="s">
        <v>90</v>
      </c>
      <c r="C286" s="717"/>
      <c r="D286" s="717"/>
      <c r="E286" s="717"/>
      <c r="F286" s="857"/>
      <c r="G286" s="1111"/>
    </row>
    <row r="287" spans="1:7" x14ac:dyDescent="0.2">
      <c r="A287" s="1551"/>
      <c r="B287" s="852" t="s">
        <v>102</v>
      </c>
      <c r="C287" s="717"/>
      <c r="D287" s="717"/>
      <c r="E287" s="717"/>
      <c r="F287" s="857"/>
      <c r="G287" s="1111"/>
    </row>
    <row r="288" spans="1:7" ht="25.5" x14ac:dyDescent="0.2">
      <c r="A288" s="1551"/>
      <c r="B288" s="852" t="s">
        <v>97</v>
      </c>
      <c r="C288" s="717">
        <v>3200000</v>
      </c>
      <c r="D288" s="717">
        <v>3210000</v>
      </c>
      <c r="E288" s="717">
        <v>3200000</v>
      </c>
      <c r="F288" s="857">
        <f>E288/D288*100</f>
        <v>99.688473520249218</v>
      </c>
      <c r="G288" s="1111"/>
    </row>
    <row r="289" spans="1:7" x14ac:dyDescent="0.2">
      <c r="A289" s="1551"/>
      <c r="B289" s="852" t="s">
        <v>627</v>
      </c>
      <c r="C289" s="717"/>
      <c r="D289" s="717"/>
      <c r="E289" s="717"/>
      <c r="F289" s="857"/>
      <c r="G289" s="1111"/>
    </row>
    <row r="290" spans="1:7" x14ac:dyDescent="0.2">
      <c r="A290" s="1551"/>
      <c r="B290" s="852" t="s">
        <v>92</v>
      </c>
      <c r="C290" s="717"/>
      <c r="D290" s="717"/>
      <c r="E290" s="717"/>
      <c r="F290" s="857"/>
      <c r="G290" s="1111"/>
    </row>
    <row r="291" spans="1:7" x14ac:dyDescent="0.2">
      <c r="A291" s="1551"/>
      <c r="B291" s="852" t="s">
        <v>93</v>
      </c>
      <c r="C291" s="732"/>
      <c r="D291" s="732"/>
      <c r="E291" s="732"/>
      <c r="F291" s="857"/>
      <c r="G291" s="1111"/>
    </row>
    <row r="292" spans="1:7" x14ac:dyDescent="0.2">
      <c r="A292" s="1551"/>
      <c r="B292" s="852" t="s">
        <v>94</v>
      </c>
      <c r="C292" s="732"/>
      <c r="D292" s="732"/>
      <c r="E292" s="732"/>
      <c r="F292" s="857"/>
      <c r="G292" s="1111"/>
    </row>
    <row r="293" spans="1:7" ht="13.5" thickBot="1" x14ac:dyDescent="0.25">
      <c r="A293" s="1551"/>
      <c r="B293" s="853" t="s">
        <v>103</v>
      </c>
      <c r="C293" s="734"/>
      <c r="D293" s="734"/>
      <c r="E293" s="734"/>
      <c r="F293" s="858"/>
      <c r="G293" s="1111"/>
    </row>
    <row r="294" spans="1:7" ht="13.5" thickBot="1" x14ac:dyDescent="0.25">
      <c r="A294" s="1551"/>
      <c r="B294" s="1153" t="s">
        <v>14</v>
      </c>
      <c r="C294" s="1147">
        <f>SUM(C284:C293)</f>
        <v>3200000</v>
      </c>
      <c r="D294" s="1147">
        <f>SUM(D284:D293)</f>
        <v>3210000</v>
      </c>
      <c r="E294" s="1147">
        <f>SUM(E284:E293)</f>
        <v>3200000</v>
      </c>
      <c r="F294" s="985">
        <f>E294/D294*100</f>
        <v>99.688473520249218</v>
      </c>
      <c r="G294" s="1111"/>
    </row>
    <row r="295" spans="1:7" x14ac:dyDescent="0.2">
      <c r="A295" s="1550" t="s">
        <v>609</v>
      </c>
      <c r="B295" s="850" t="s">
        <v>88</v>
      </c>
      <c r="C295" s="844"/>
      <c r="D295" s="844"/>
      <c r="E295" s="844"/>
      <c r="F295" s="856"/>
      <c r="G295" s="1111"/>
    </row>
    <row r="296" spans="1:7" ht="25.5" x14ac:dyDescent="0.2">
      <c r="A296" s="1551"/>
      <c r="B296" s="852" t="s">
        <v>101</v>
      </c>
      <c r="C296" s="717"/>
      <c r="D296" s="717"/>
      <c r="E296" s="717"/>
      <c r="F296" s="857"/>
      <c r="G296" s="1111"/>
    </row>
    <row r="297" spans="1:7" x14ac:dyDescent="0.2">
      <c r="A297" s="1551"/>
      <c r="B297" s="852" t="s">
        <v>90</v>
      </c>
      <c r="C297" s="717"/>
      <c r="D297" s="717">
        <v>208600</v>
      </c>
      <c r="E297" s="717">
        <v>208600</v>
      </c>
      <c r="F297" s="857">
        <f t="shared" ref="F297" si="15">E297/D297%</f>
        <v>100</v>
      </c>
      <c r="G297" s="1111"/>
    </row>
    <row r="298" spans="1:7" x14ac:dyDescent="0.2">
      <c r="A298" s="1551"/>
      <c r="B298" s="852" t="s">
        <v>102</v>
      </c>
      <c r="C298" s="717"/>
      <c r="D298" s="717"/>
      <c r="E298" s="717"/>
      <c r="F298" s="857"/>
      <c r="G298" s="1111"/>
    </row>
    <row r="299" spans="1:7" ht="25.5" x14ac:dyDescent="0.2">
      <c r="A299" s="1551"/>
      <c r="B299" s="852" t="s">
        <v>97</v>
      </c>
      <c r="C299" s="717"/>
      <c r="D299" s="717"/>
      <c r="E299" s="717"/>
      <c r="F299" s="857"/>
      <c r="G299" s="1111"/>
    </row>
    <row r="300" spans="1:7" x14ac:dyDescent="0.2">
      <c r="A300" s="1551"/>
      <c r="B300" s="852" t="s">
        <v>627</v>
      </c>
      <c r="C300" s="717"/>
      <c r="D300" s="717"/>
      <c r="E300" s="717"/>
      <c r="F300" s="857"/>
      <c r="G300" s="1111"/>
    </row>
    <row r="301" spans="1:7" x14ac:dyDescent="0.2">
      <c r="A301" s="1551"/>
      <c r="B301" s="852" t="s">
        <v>92</v>
      </c>
      <c r="C301" s="717"/>
      <c r="D301" s="717"/>
      <c r="E301" s="717"/>
      <c r="F301" s="857"/>
      <c r="G301" s="1111"/>
    </row>
    <row r="302" spans="1:7" x14ac:dyDescent="0.2">
      <c r="A302" s="1551"/>
      <c r="B302" s="852" t="s">
        <v>93</v>
      </c>
      <c r="C302" s="732"/>
      <c r="D302" s="732"/>
      <c r="E302" s="732"/>
      <c r="F302" s="857"/>
      <c r="G302" s="1111"/>
    </row>
    <row r="303" spans="1:7" x14ac:dyDescent="0.2">
      <c r="A303" s="1551"/>
      <c r="B303" s="852" t="s">
        <v>94</v>
      </c>
      <c r="C303" s="732"/>
      <c r="D303" s="732"/>
      <c r="E303" s="732"/>
      <c r="F303" s="857"/>
      <c r="G303" s="1111"/>
    </row>
    <row r="304" spans="1:7" ht="13.5" thickBot="1" x14ac:dyDescent="0.25">
      <c r="A304" s="1551"/>
      <c r="B304" s="853" t="s">
        <v>103</v>
      </c>
      <c r="C304" s="734"/>
      <c r="D304" s="734"/>
      <c r="E304" s="734"/>
      <c r="F304" s="858"/>
      <c r="G304" s="1111"/>
    </row>
    <row r="305" spans="1:7" ht="18.75" customHeight="1" thickBot="1" x14ac:dyDescent="0.25">
      <c r="A305" s="1551"/>
      <c r="B305" s="848" t="s">
        <v>14</v>
      </c>
      <c r="C305" s="740">
        <f>SUM(C295:C304)</f>
        <v>0</v>
      </c>
      <c r="D305" s="740">
        <f>SUM(D295:D304)</f>
        <v>208600</v>
      </c>
      <c r="E305" s="740">
        <f>SUM(E295:E304)</f>
        <v>208600</v>
      </c>
      <c r="F305" s="849">
        <f t="shared" ref="F305" si="16">E305/D305%</f>
        <v>100</v>
      </c>
      <c r="G305" s="1111"/>
    </row>
    <row r="306" spans="1:7" x14ac:dyDescent="0.2">
      <c r="A306" s="1550" t="s">
        <v>540</v>
      </c>
      <c r="B306" s="850" t="s">
        <v>88</v>
      </c>
      <c r="C306" s="844"/>
      <c r="D306" s="844"/>
      <c r="E306" s="844"/>
      <c r="F306" s="856"/>
      <c r="G306" s="1111"/>
    </row>
    <row r="307" spans="1:7" ht="25.5" x14ac:dyDescent="0.2">
      <c r="A307" s="1551"/>
      <c r="B307" s="852" t="s">
        <v>101</v>
      </c>
      <c r="C307" s="717"/>
      <c r="D307" s="717"/>
      <c r="E307" s="717"/>
      <c r="F307" s="857"/>
      <c r="G307" s="1111"/>
    </row>
    <row r="308" spans="1:7" x14ac:dyDescent="0.2">
      <c r="A308" s="1551"/>
      <c r="B308" s="852" t="s">
        <v>90</v>
      </c>
      <c r="C308" s="717"/>
      <c r="D308" s="717"/>
      <c r="E308" s="717">
        <v>1778</v>
      </c>
      <c r="F308" s="857"/>
      <c r="G308" s="1111"/>
    </row>
    <row r="309" spans="1:7" x14ac:dyDescent="0.2">
      <c r="A309" s="1551"/>
      <c r="B309" s="852" t="s">
        <v>102</v>
      </c>
      <c r="C309" s="717"/>
      <c r="D309" s="717"/>
      <c r="E309" s="717"/>
      <c r="F309" s="857"/>
      <c r="G309" s="1111"/>
    </row>
    <row r="310" spans="1:7" ht="25.5" x14ac:dyDescent="0.2">
      <c r="A310" s="1551"/>
      <c r="B310" s="852" t="s">
        <v>97</v>
      </c>
      <c r="C310" s="717"/>
      <c r="D310" s="717"/>
      <c r="E310" s="717"/>
      <c r="F310" s="857"/>
      <c r="G310" s="1111"/>
    </row>
    <row r="311" spans="1:7" x14ac:dyDescent="0.2">
      <c r="A311" s="1551"/>
      <c r="B311" s="852" t="s">
        <v>627</v>
      </c>
      <c r="C311" s="717"/>
      <c r="D311" s="717"/>
      <c r="E311" s="717"/>
      <c r="F311" s="857"/>
      <c r="G311" s="1111"/>
    </row>
    <row r="312" spans="1:7" x14ac:dyDescent="0.2">
      <c r="A312" s="1551"/>
      <c r="B312" s="852" t="s">
        <v>92</v>
      </c>
      <c r="C312" s="717"/>
      <c r="D312" s="717"/>
      <c r="E312" s="717"/>
      <c r="F312" s="857"/>
      <c r="G312" s="1111"/>
    </row>
    <row r="313" spans="1:7" x14ac:dyDescent="0.2">
      <c r="A313" s="1551"/>
      <c r="B313" s="852" t="s">
        <v>93</v>
      </c>
      <c r="C313" s="732"/>
      <c r="D313" s="732"/>
      <c r="E313" s="732"/>
      <c r="F313" s="857"/>
      <c r="G313" s="1111"/>
    </row>
    <row r="314" spans="1:7" x14ac:dyDescent="0.2">
      <c r="A314" s="1551"/>
      <c r="B314" s="852" t="s">
        <v>94</v>
      </c>
      <c r="C314" s="732"/>
      <c r="D314" s="732"/>
      <c r="E314" s="732"/>
      <c r="F314" s="857"/>
      <c r="G314" s="1111"/>
    </row>
    <row r="315" spans="1:7" ht="13.5" thickBot="1" x14ac:dyDescent="0.25">
      <c r="A315" s="1551"/>
      <c r="B315" s="853" t="s">
        <v>103</v>
      </c>
      <c r="C315" s="734"/>
      <c r="D315" s="734"/>
      <c r="E315" s="734"/>
      <c r="F315" s="858"/>
      <c r="G315" s="1111"/>
    </row>
    <row r="316" spans="1:7" ht="18.75" customHeight="1" thickBot="1" x14ac:dyDescent="0.25">
      <c r="A316" s="1551"/>
      <c r="B316" s="848" t="s">
        <v>14</v>
      </c>
      <c r="C316" s="740">
        <f>SUM(C306:C315)</f>
        <v>0</v>
      </c>
      <c r="D316" s="740">
        <f>SUM(D306:D315)</f>
        <v>0</v>
      </c>
      <c r="E316" s="740">
        <f>SUM(E306:E315)</f>
        <v>1778</v>
      </c>
      <c r="F316" s="849"/>
      <c r="G316" s="1111"/>
    </row>
    <row r="317" spans="1:7" x14ac:dyDescent="0.2">
      <c r="A317" s="1550" t="s">
        <v>610</v>
      </c>
      <c r="B317" s="1160" t="s">
        <v>88</v>
      </c>
      <c r="C317" s="1154"/>
      <c r="D317" s="1154">
        <v>448126</v>
      </c>
      <c r="E317" s="1154">
        <v>432151</v>
      </c>
      <c r="F317" s="1155">
        <f>E317/D317%</f>
        <v>96.435154398539694</v>
      </c>
      <c r="G317" s="1111"/>
    </row>
    <row r="318" spans="1:7" ht="25.5" x14ac:dyDescent="0.2">
      <c r="A318" s="1551"/>
      <c r="B318" s="852" t="s">
        <v>101</v>
      </c>
      <c r="C318" s="717"/>
      <c r="D318" s="717">
        <v>146968</v>
      </c>
      <c r="E318" s="717">
        <v>132585</v>
      </c>
      <c r="F318" s="1155">
        <f>E318/D318%</f>
        <v>90.213515867399707</v>
      </c>
      <c r="G318" s="1111"/>
    </row>
    <row r="319" spans="1:7" x14ac:dyDescent="0.2">
      <c r="A319" s="1551"/>
      <c r="B319" s="852" t="s">
        <v>90</v>
      </c>
      <c r="C319" s="717">
        <v>2719800</v>
      </c>
      <c r="D319" s="717">
        <v>3196407</v>
      </c>
      <c r="E319" s="717">
        <v>812425</v>
      </c>
      <c r="F319" s="857">
        <f t="shared" ref="F319:F321" si="17">E319/D319*100</f>
        <v>25.416819572726503</v>
      </c>
      <c r="G319" s="1111"/>
    </row>
    <row r="320" spans="1:7" x14ac:dyDescent="0.2">
      <c r="A320" s="1551"/>
      <c r="B320" s="852" t="s">
        <v>102</v>
      </c>
      <c r="C320" s="717"/>
      <c r="D320" s="717"/>
      <c r="E320" s="717"/>
      <c r="F320" s="857"/>
      <c r="G320" s="1111"/>
    </row>
    <row r="321" spans="1:7" ht="25.5" x14ac:dyDescent="0.2">
      <c r="A321" s="1551"/>
      <c r="B321" s="852" t="s">
        <v>97</v>
      </c>
      <c r="C321" s="717">
        <f>1044356-352942</f>
        <v>691414</v>
      </c>
      <c r="D321" s="717">
        <f>708298-16884</f>
        <v>691414</v>
      </c>
      <c r="E321" s="717">
        <v>776122</v>
      </c>
      <c r="F321" s="857">
        <f t="shared" si="17"/>
        <v>112.25141521577522</v>
      </c>
      <c r="G321" s="1111"/>
    </row>
    <row r="322" spans="1:7" x14ac:dyDescent="0.2">
      <c r="A322" s="1551"/>
      <c r="B322" s="852" t="s">
        <v>627</v>
      </c>
      <c r="C322" s="717">
        <v>352942</v>
      </c>
      <c r="D322" s="717">
        <v>16884</v>
      </c>
      <c r="E322" s="717"/>
      <c r="F322" s="857"/>
      <c r="G322" s="1111"/>
    </row>
    <row r="323" spans="1:7" x14ac:dyDescent="0.2">
      <c r="A323" s="1551"/>
      <c r="B323" s="852" t="s">
        <v>92</v>
      </c>
      <c r="C323" s="717"/>
      <c r="D323" s="717"/>
      <c r="E323" s="717"/>
      <c r="F323" s="857"/>
      <c r="G323" s="1111"/>
    </row>
    <row r="324" spans="1:7" x14ac:dyDescent="0.2">
      <c r="A324" s="1551"/>
      <c r="B324" s="852" t="s">
        <v>93</v>
      </c>
      <c r="C324" s="732"/>
      <c r="D324" s="732"/>
      <c r="E324" s="732"/>
      <c r="F324" s="857"/>
      <c r="G324" s="1111"/>
    </row>
    <row r="325" spans="1:7" x14ac:dyDescent="0.2">
      <c r="A325" s="1551"/>
      <c r="B325" s="852" t="s">
        <v>94</v>
      </c>
      <c r="C325" s="732"/>
      <c r="D325" s="732"/>
      <c r="E325" s="732"/>
      <c r="F325" s="857"/>
      <c r="G325" s="1111"/>
    </row>
    <row r="326" spans="1:7" ht="13.5" thickBot="1" x14ac:dyDescent="0.25">
      <c r="A326" s="1551"/>
      <c r="B326" s="853" t="s">
        <v>103</v>
      </c>
      <c r="C326" s="734"/>
      <c r="D326" s="734"/>
      <c r="E326" s="734"/>
      <c r="F326" s="857"/>
      <c r="G326" s="1111"/>
    </row>
    <row r="327" spans="1:7" ht="13.5" thickBot="1" x14ac:dyDescent="0.25">
      <c r="A327" s="1551"/>
      <c r="B327" s="848" t="s">
        <v>14</v>
      </c>
      <c r="C327" s="1147">
        <f>SUM(C317:C326)</f>
        <v>3764156</v>
      </c>
      <c r="D327" s="1147">
        <f>SUM(D317:D326)</f>
        <v>4499799</v>
      </c>
      <c r="E327" s="1147">
        <f>SUM(E317:E326)</f>
        <v>2153283</v>
      </c>
      <c r="F327" s="985">
        <f>E327/D327*100</f>
        <v>47.852870761560681</v>
      </c>
      <c r="G327" s="1111"/>
    </row>
    <row r="328" spans="1:7" ht="13.5" thickBot="1" x14ac:dyDescent="0.25">
      <c r="A328" s="860" t="s">
        <v>73</v>
      </c>
      <c r="B328" s="861" t="s">
        <v>24</v>
      </c>
      <c r="C328" s="862" t="s">
        <v>155</v>
      </c>
      <c r="D328" s="862" t="s">
        <v>148</v>
      </c>
      <c r="E328" s="862" t="s">
        <v>149</v>
      </c>
      <c r="F328" s="863" t="s">
        <v>150</v>
      </c>
      <c r="G328" s="1111"/>
    </row>
    <row r="329" spans="1:7" x14ac:dyDescent="0.2">
      <c r="A329" s="1556" t="s">
        <v>541</v>
      </c>
      <c r="B329" s="850" t="s">
        <v>88</v>
      </c>
      <c r="C329" s="1158"/>
      <c r="D329" s="1158"/>
      <c r="E329" s="1158"/>
      <c r="F329" s="1159"/>
      <c r="G329" s="1111"/>
    </row>
    <row r="330" spans="1:7" ht="25.5" x14ac:dyDescent="0.2">
      <c r="A330" s="1557"/>
      <c r="B330" s="852" t="s">
        <v>101</v>
      </c>
      <c r="C330" s="994"/>
      <c r="D330" s="994"/>
      <c r="E330" s="994"/>
      <c r="F330" s="1143"/>
      <c r="G330" s="1111"/>
    </row>
    <row r="331" spans="1:7" x14ac:dyDescent="0.2">
      <c r="A331" s="1557"/>
      <c r="B331" s="852" t="s">
        <v>90</v>
      </c>
      <c r="C331" s="994">
        <v>10586695</v>
      </c>
      <c r="D331" s="994">
        <v>10586695</v>
      </c>
      <c r="E331" s="994">
        <v>9378274</v>
      </c>
      <c r="F331" s="995">
        <f>E331/D331*100</f>
        <v>88.585474503610428</v>
      </c>
      <c r="G331" s="1111"/>
    </row>
    <row r="332" spans="1:7" x14ac:dyDescent="0.2">
      <c r="A332" s="1557"/>
      <c r="B332" s="852" t="s">
        <v>102</v>
      </c>
      <c r="C332" s="994"/>
      <c r="D332" s="994"/>
      <c r="E332" s="994"/>
      <c r="F332" s="1143"/>
      <c r="G332" s="1111"/>
    </row>
    <row r="333" spans="1:7" ht="25.5" x14ac:dyDescent="0.2">
      <c r="A333" s="1557"/>
      <c r="B333" s="852" t="s">
        <v>97</v>
      </c>
      <c r="C333" s="994"/>
      <c r="D333" s="994"/>
      <c r="E333" s="994"/>
      <c r="F333" s="1143"/>
      <c r="G333" s="1111"/>
    </row>
    <row r="334" spans="1:7" x14ac:dyDescent="0.2">
      <c r="A334" s="1557"/>
      <c r="B334" s="852" t="s">
        <v>627</v>
      </c>
      <c r="C334" s="994"/>
      <c r="D334" s="994"/>
      <c r="E334" s="994"/>
      <c r="F334" s="1143"/>
      <c r="G334" s="1111"/>
    </row>
    <row r="335" spans="1:7" x14ac:dyDescent="0.2">
      <c r="A335" s="1557"/>
      <c r="B335" s="852" t="s">
        <v>92</v>
      </c>
      <c r="C335" s="994"/>
      <c r="D335" s="994"/>
      <c r="E335" s="994"/>
      <c r="F335" s="1143"/>
      <c r="G335" s="1111"/>
    </row>
    <row r="336" spans="1:7" x14ac:dyDescent="0.2">
      <c r="A336" s="1557"/>
      <c r="B336" s="852" t="s">
        <v>93</v>
      </c>
      <c r="C336" s="994"/>
      <c r="D336" s="994"/>
      <c r="E336" s="994"/>
      <c r="F336" s="1143"/>
      <c r="G336" s="1111"/>
    </row>
    <row r="337" spans="1:7" x14ac:dyDescent="0.2">
      <c r="A337" s="1557"/>
      <c r="B337" s="852" t="s">
        <v>94</v>
      </c>
      <c r="C337" s="994"/>
      <c r="D337" s="994"/>
      <c r="E337" s="994"/>
      <c r="F337" s="1143"/>
      <c r="G337" s="1111"/>
    </row>
    <row r="338" spans="1:7" ht="13.5" thickBot="1" x14ac:dyDescent="0.25">
      <c r="A338" s="1557"/>
      <c r="B338" s="1144" t="s">
        <v>103</v>
      </c>
      <c r="C338" s="1145"/>
      <c r="D338" s="1145"/>
      <c r="E338" s="1145"/>
      <c r="F338" s="1146"/>
      <c r="G338" s="1111"/>
    </row>
    <row r="339" spans="1:7" ht="13.5" thickBot="1" x14ac:dyDescent="0.25">
      <c r="A339" s="1558"/>
      <c r="B339" s="993" t="s">
        <v>14</v>
      </c>
      <c r="C339" s="996">
        <f>SUM(C329:C338)</f>
        <v>10586695</v>
      </c>
      <c r="D339" s="996">
        <f t="shared" ref="D339:E339" si="18">SUM(D329:D338)</f>
        <v>10586695</v>
      </c>
      <c r="E339" s="996">
        <f t="shared" si="18"/>
        <v>9378274</v>
      </c>
      <c r="F339" s="997">
        <f>E339/D339*100</f>
        <v>88.585474503610428</v>
      </c>
      <c r="G339" s="1111"/>
    </row>
    <row r="340" spans="1:7" x14ac:dyDescent="0.2">
      <c r="A340" s="1553" t="s">
        <v>166</v>
      </c>
      <c r="B340" s="850" t="s">
        <v>88</v>
      </c>
      <c r="C340" s="844"/>
      <c r="D340" s="844"/>
      <c r="E340" s="844"/>
      <c r="F340" s="851"/>
      <c r="G340" s="1111"/>
    </row>
    <row r="341" spans="1:7" ht="25.5" x14ac:dyDescent="0.2">
      <c r="A341" s="1554"/>
      <c r="B341" s="852" t="s">
        <v>101</v>
      </c>
      <c r="C341" s="717"/>
      <c r="D341" s="717"/>
      <c r="E341" s="717"/>
      <c r="F341" s="845"/>
      <c r="G341" s="1111"/>
    </row>
    <row r="342" spans="1:7" x14ac:dyDescent="0.2">
      <c r="A342" s="1554"/>
      <c r="B342" s="852" t="s">
        <v>90</v>
      </c>
      <c r="C342" s="717"/>
      <c r="D342" s="717"/>
      <c r="E342" s="717"/>
      <c r="F342" s="845"/>
      <c r="G342" s="1111"/>
    </row>
    <row r="343" spans="1:7" x14ac:dyDescent="0.2">
      <c r="A343" s="1554"/>
      <c r="B343" s="852" t="s">
        <v>102</v>
      </c>
      <c r="C343" s="717"/>
      <c r="D343" s="717">
        <v>52000</v>
      </c>
      <c r="E343" s="717">
        <v>52000</v>
      </c>
      <c r="F343" s="857">
        <f>E343/D343*100</f>
        <v>100</v>
      </c>
      <c r="G343" s="1111"/>
    </row>
    <row r="344" spans="1:7" ht="25.5" x14ac:dyDescent="0.2">
      <c r="A344" s="1554"/>
      <c r="B344" s="852" t="s">
        <v>97</v>
      </c>
      <c r="C344" s="717"/>
      <c r="D344" s="717"/>
      <c r="E344" s="717"/>
      <c r="F344" s="845"/>
      <c r="G344" s="1111"/>
    </row>
    <row r="345" spans="1:7" x14ac:dyDescent="0.2">
      <c r="A345" s="1554"/>
      <c r="B345" s="852" t="s">
        <v>627</v>
      </c>
      <c r="C345" s="717"/>
      <c r="D345" s="717"/>
      <c r="E345" s="717"/>
      <c r="F345" s="845"/>
      <c r="G345" s="1111"/>
    </row>
    <row r="346" spans="1:7" x14ac:dyDescent="0.2">
      <c r="A346" s="1554"/>
      <c r="B346" s="852" t="s">
        <v>92</v>
      </c>
      <c r="C346" s="717"/>
      <c r="D346" s="717"/>
      <c r="E346" s="717"/>
      <c r="F346" s="845"/>
      <c r="G346" s="1111"/>
    </row>
    <row r="347" spans="1:7" x14ac:dyDescent="0.2">
      <c r="A347" s="1554"/>
      <c r="B347" s="852" t="s">
        <v>93</v>
      </c>
      <c r="C347" s="732"/>
      <c r="D347" s="732"/>
      <c r="E347" s="732"/>
      <c r="F347" s="845"/>
      <c r="G347" s="1111"/>
    </row>
    <row r="348" spans="1:7" x14ac:dyDescent="0.2">
      <c r="A348" s="1554"/>
      <c r="B348" s="852" t="s">
        <v>94</v>
      </c>
      <c r="C348" s="732"/>
      <c r="D348" s="732"/>
      <c r="E348" s="732"/>
      <c r="F348" s="845"/>
      <c r="G348" s="1111"/>
    </row>
    <row r="349" spans="1:7" ht="13.5" thickBot="1" x14ac:dyDescent="0.25">
      <c r="A349" s="1554"/>
      <c r="B349" s="853" t="s">
        <v>103</v>
      </c>
      <c r="C349" s="734"/>
      <c r="D349" s="734"/>
      <c r="E349" s="734"/>
      <c r="F349" s="854"/>
      <c r="G349" s="1111"/>
    </row>
    <row r="350" spans="1:7" ht="13.5" thickBot="1" x14ac:dyDescent="0.25">
      <c r="A350" s="1555"/>
      <c r="B350" s="848" t="s">
        <v>14</v>
      </c>
      <c r="C350" s="740">
        <f>SUM(C340:C349)</f>
        <v>0</v>
      </c>
      <c r="D350" s="740">
        <f>SUM(D340:D349)</f>
        <v>52000</v>
      </c>
      <c r="E350" s="740">
        <f>SUM(E340:E349)</f>
        <v>52000</v>
      </c>
      <c r="F350" s="849">
        <f>E350/D350*100</f>
        <v>100</v>
      </c>
      <c r="G350" s="1111"/>
    </row>
    <row r="351" spans="1:7" x14ac:dyDescent="0.2">
      <c r="A351" s="1550" t="s">
        <v>488</v>
      </c>
      <c r="B351" s="850" t="s">
        <v>88</v>
      </c>
      <c r="C351" s="844"/>
      <c r="D351" s="844"/>
      <c r="E351" s="844"/>
      <c r="F351" s="856"/>
      <c r="G351" s="1111"/>
    </row>
    <row r="352" spans="1:7" ht="25.5" x14ac:dyDescent="0.2">
      <c r="A352" s="1551"/>
      <c r="B352" s="852" t="s">
        <v>101</v>
      </c>
      <c r="C352" s="717"/>
      <c r="D352" s="717"/>
      <c r="E352" s="717"/>
      <c r="F352" s="857"/>
      <c r="G352" s="1111"/>
    </row>
    <row r="353" spans="1:7" x14ac:dyDescent="0.2">
      <c r="A353" s="1551"/>
      <c r="B353" s="852" t="s">
        <v>90</v>
      </c>
      <c r="C353" s="717"/>
      <c r="D353" s="717"/>
      <c r="E353" s="717"/>
      <c r="F353" s="857"/>
      <c r="G353" s="1111"/>
    </row>
    <row r="354" spans="1:7" x14ac:dyDescent="0.2">
      <c r="A354" s="1551"/>
      <c r="B354" s="852" t="s">
        <v>102</v>
      </c>
      <c r="C354" s="717">
        <v>1900000</v>
      </c>
      <c r="D354" s="717">
        <v>1900000</v>
      </c>
      <c r="E354" s="717">
        <v>1693740</v>
      </c>
      <c r="F354" s="857">
        <f>E354/D354*100</f>
        <v>89.144210526315788</v>
      </c>
      <c r="G354" s="1111"/>
    </row>
    <row r="355" spans="1:7" ht="25.5" x14ac:dyDescent="0.2">
      <c r="A355" s="1551"/>
      <c r="B355" s="852" t="s">
        <v>97</v>
      </c>
      <c r="C355" s="717"/>
      <c r="D355" s="717"/>
      <c r="E355" s="717"/>
      <c r="F355" s="857"/>
      <c r="G355" s="1111"/>
    </row>
    <row r="356" spans="1:7" x14ac:dyDescent="0.2">
      <c r="A356" s="1551"/>
      <c r="B356" s="852" t="s">
        <v>627</v>
      </c>
      <c r="C356" s="717"/>
      <c r="D356" s="717"/>
      <c r="E356" s="717"/>
      <c r="F356" s="857"/>
      <c r="G356" s="1111"/>
    </row>
    <row r="357" spans="1:7" x14ac:dyDescent="0.2">
      <c r="A357" s="1551"/>
      <c r="B357" s="852" t="s">
        <v>92</v>
      </c>
      <c r="C357" s="717"/>
      <c r="D357" s="717"/>
      <c r="E357" s="717"/>
      <c r="F357" s="857"/>
      <c r="G357" s="1111"/>
    </row>
    <row r="358" spans="1:7" x14ac:dyDescent="0.2">
      <c r="A358" s="1551"/>
      <c r="B358" s="852" t="s">
        <v>93</v>
      </c>
      <c r="C358" s="732"/>
      <c r="D358" s="732"/>
      <c r="E358" s="732"/>
      <c r="F358" s="857"/>
      <c r="G358" s="1111"/>
    </row>
    <row r="359" spans="1:7" x14ac:dyDescent="0.2">
      <c r="A359" s="1551"/>
      <c r="B359" s="852" t="s">
        <v>94</v>
      </c>
      <c r="C359" s="732"/>
      <c r="D359" s="732"/>
      <c r="E359" s="732"/>
      <c r="F359" s="857"/>
      <c r="G359" s="1111"/>
    </row>
    <row r="360" spans="1:7" ht="13.5" thickBot="1" x14ac:dyDescent="0.25">
      <c r="A360" s="1551"/>
      <c r="B360" s="853" t="s">
        <v>103</v>
      </c>
      <c r="C360" s="734"/>
      <c r="D360" s="734"/>
      <c r="E360" s="734"/>
      <c r="F360" s="858"/>
      <c r="G360" s="1111"/>
    </row>
    <row r="361" spans="1:7" ht="13.5" thickBot="1" x14ac:dyDescent="0.25">
      <c r="A361" s="1551"/>
      <c r="B361" s="848" t="s">
        <v>14</v>
      </c>
      <c r="C361" s="740">
        <f>SUM(C351:C360)</f>
        <v>1900000</v>
      </c>
      <c r="D361" s="740">
        <f>SUM(D351:D360)</f>
        <v>1900000</v>
      </c>
      <c r="E361" s="740">
        <f>SUM(E351:E360)</f>
        <v>1693740</v>
      </c>
      <c r="F361" s="849">
        <f>E361/D361*100</f>
        <v>89.144210526315788</v>
      </c>
      <c r="G361" s="1111"/>
    </row>
    <row r="362" spans="1:7" x14ac:dyDescent="0.2">
      <c r="A362" s="1550" t="s">
        <v>489</v>
      </c>
      <c r="B362" s="850" t="s">
        <v>88</v>
      </c>
      <c r="C362" s="867"/>
      <c r="D362" s="867"/>
      <c r="E362" s="867"/>
      <c r="F362" s="856"/>
      <c r="G362" s="1111"/>
    </row>
    <row r="363" spans="1:7" ht="25.5" x14ac:dyDescent="0.2">
      <c r="A363" s="1551"/>
      <c r="B363" s="852" t="s">
        <v>101</v>
      </c>
      <c r="C363" s="868"/>
      <c r="D363" s="868"/>
      <c r="E363" s="868"/>
      <c r="F363" s="857"/>
      <c r="G363" s="1111"/>
    </row>
    <row r="364" spans="1:7" x14ac:dyDescent="0.2">
      <c r="A364" s="1551"/>
      <c r="B364" s="852" t="s">
        <v>90</v>
      </c>
      <c r="C364" s="868">
        <v>2175000</v>
      </c>
      <c r="D364" s="868">
        <v>635000</v>
      </c>
      <c r="E364" s="868">
        <v>375455</v>
      </c>
      <c r="F364" s="857">
        <f>E364/D364*100</f>
        <v>59.126771653543308</v>
      </c>
      <c r="G364" s="1111"/>
    </row>
    <row r="365" spans="1:7" x14ac:dyDescent="0.2">
      <c r="A365" s="1551"/>
      <c r="B365" s="852" t="s">
        <v>102</v>
      </c>
      <c r="C365" s="868"/>
      <c r="D365" s="868"/>
      <c r="E365" s="868"/>
      <c r="F365" s="857"/>
      <c r="G365" s="1111"/>
    </row>
    <row r="366" spans="1:7" ht="25.5" x14ac:dyDescent="0.2">
      <c r="A366" s="1551"/>
      <c r="B366" s="852" t="s">
        <v>97</v>
      </c>
      <c r="C366" s="868">
        <v>3705397</v>
      </c>
      <c r="D366" s="868">
        <v>15729681</v>
      </c>
      <c r="E366" s="868">
        <v>17402412</v>
      </c>
      <c r="F366" s="857">
        <f>E366/D366*100</f>
        <v>110.63423345966139</v>
      </c>
      <c r="G366" s="1111"/>
    </row>
    <row r="367" spans="1:7" x14ac:dyDescent="0.2">
      <c r="A367" s="1551"/>
      <c r="B367" s="852" t="s">
        <v>627</v>
      </c>
      <c r="C367" s="868"/>
      <c r="D367" s="868"/>
      <c r="E367" s="868"/>
      <c r="F367" s="857"/>
      <c r="G367" s="1111"/>
    </row>
    <row r="368" spans="1:7" x14ac:dyDescent="0.2">
      <c r="A368" s="1551"/>
      <c r="B368" s="852" t="s">
        <v>92</v>
      </c>
      <c r="C368" s="868"/>
      <c r="D368" s="868"/>
      <c r="E368" s="868"/>
      <c r="F368" s="857"/>
      <c r="G368" s="1111"/>
    </row>
    <row r="369" spans="1:7" x14ac:dyDescent="0.2">
      <c r="A369" s="1551"/>
      <c r="B369" s="852" t="s">
        <v>93</v>
      </c>
      <c r="C369" s="836"/>
      <c r="D369" s="868"/>
      <c r="E369" s="868"/>
      <c r="F369" s="857"/>
      <c r="G369" s="1111"/>
    </row>
    <row r="370" spans="1:7" x14ac:dyDescent="0.2">
      <c r="A370" s="1551"/>
      <c r="B370" s="852" t="s">
        <v>94</v>
      </c>
      <c r="C370" s="836"/>
      <c r="D370" s="868"/>
      <c r="E370" s="836"/>
      <c r="F370" s="857"/>
      <c r="G370" s="1111"/>
    </row>
    <row r="371" spans="1:7" ht="13.5" thickBot="1" x14ac:dyDescent="0.25">
      <c r="A371" s="1551"/>
      <c r="B371" s="853" t="s">
        <v>103</v>
      </c>
      <c r="C371" s="837"/>
      <c r="D371" s="837"/>
      <c r="E371" s="837"/>
      <c r="F371" s="858"/>
      <c r="G371" s="1111"/>
    </row>
    <row r="372" spans="1:7" ht="13.5" thickBot="1" x14ac:dyDescent="0.25">
      <c r="A372" s="1551"/>
      <c r="B372" s="848" t="s">
        <v>14</v>
      </c>
      <c r="C372" s="740">
        <f>SUM(C362:C371)</f>
        <v>5880397</v>
      </c>
      <c r="D372" s="740">
        <f>SUM(D362:D371)</f>
        <v>16364681</v>
      </c>
      <c r="E372" s="740">
        <f>SUM(E362:E371)</f>
        <v>17777867</v>
      </c>
      <c r="F372" s="849">
        <f>E372/D372*100</f>
        <v>108.63558538049108</v>
      </c>
      <c r="G372" s="1111"/>
    </row>
    <row r="373" spans="1:7" ht="13.5" thickBot="1" x14ac:dyDescent="0.25">
      <c r="A373" s="860" t="s">
        <v>73</v>
      </c>
      <c r="B373" s="861" t="s">
        <v>24</v>
      </c>
      <c r="C373" s="862" t="s">
        <v>155</v>
      </c>
      <c r="D373" s="862" t="s">
        <v>148</v>
      </c>
      <c r="E373" s="862" t="s">
        <v>149</v>
      </c>
      <c r="F373" s="863" t="s">
        <v>150</v>
      </c>
      <c r="G373" s="1111"/>
    </row>
    <row r="374" spans="1:7" x14ac:dyDescent="0.2">
      <c r="A374" s="1550" t="s">
        <v>77</v>
      </c>
      <c r="B374" s="850" t="s">
        <v>88</v>
      </c>
      <c r="C374" s="844">
        <v>3558450</v>
      </c>
      <c r="D374" s="844">
        <v>3362850</v>
      </c>
      <c r="E374" s="844">
        <v>3258400</v>
      </c>
      <c r="F374" s="857">
        <f>E374/D374*100</f>
        <v>96.894003598138482</v>
      </c>
      <c r="G374" s="1111"/>
    </row>
    <row r="375" spans="1:7" ht="25.5" x14ac:dyDescent="0.2">
      <c r="A375" s="1551"/>
      <c r="B375" s="852" t="s">
        <v>101</v>
      </c>
      <c r="C375" s="717">
        <v>660182</v>
      </c>
      <c r="D375" s="717">
        <v>679671</v>
      </c>
      <c r="E375" s="717">
        <v>602674</v>
      </c>
      <c r="F375" s="857">
        <f>E375/D375*100</f>
        <v>88.671430736341549</v>
      </c>
      <c r="G375" s="1111"/>
    </row>
    <row r="376" spans="1:7" x14ac:dyDescent="0.2">
      <c r="A376" s="1551"/>
      <c r="B376" s="852" t="s">
        <v>90</v>
      </c>
      <c r="C376" s="717">
        <v>1123000</v>
      </c>
      <c r="D376" s="717">
        <v>1580419</v>
      </c>
      <c r="E376" s="717">
        <v>1160643</v>
      </c>
      <c r="F376" s="857">
        <f>E376/D376*100</f>
        <v>73.438942457664709</v>
      </c>
      <c r="G376" s="1111"/>
    </row>
    <row r="377" spans="1:7" x14ac:dyDescent="0.2">
      <c r="A377" s="1551"/>
      <c r="B377" s="852" t="s">
        <v>102</v>
      </c>
      <c r="C377" s="717"/>
      <c r="D377" s="717"/>
      <c r="E377" s="717"/>
      <c r="F377" s="857"/>
      <c r="G377" s="1111"/>
    </row>
    <row r="378" spans="1:7" ht="25.5" x14ac:dyDescent="0.2">
      <c r="A378" s="1551"/>
      <c r="B378" s="852" t="s">
        <v>97</v>
      </c>
      <c r="C378" s="717"/>
      <c r="D378" s="717"/>
      <c r="E378" s="717"/>
      <c r="F378" s="857"/>
      <c r="G378" s="1111"/>
    </row>
    <row r="379" spans="1:7" x14ac:dyDescent="0.2">
      <c r="A379" s="1551"/>
      <c r="B379" s="852" t="s">
        <v>627</v>
      </c>
      <c r="C379" s="717"/>
      <c r="D379" s="717"/>
      <c r="E379" s="717"/>
      <c r="F379" s="857"/>
      <c r="G379" s="1111"/>
    </row>
    <row r="380" spans="1:7" x14ac:dyDescent="0.2">
      <c r="A380" s="1551"/>
      <c r="B380" s="852" t="s">
        <v>92</v>
      </c>
      <c r="C380" s="717"/>
      <c r="D380" s="717">
        <v>682319</v>
      </c>
      <c r="E380" s="717"/>
      <c r="F380" s="857">
        <f>E380/D380*100</f>
        <v>0</v>
      </c>
      <c r="G380" s="1111"/>
    </row>
    <row r="381" spans="1:7" x14ac:dyDescent="0.2">
      <c r="A381" s="1551"/>
      <c r="B381" s="852" t="s">
        <v>93</v>
      </c>
      <c r="C381" s="732"/>
      <c r="D381" s="732"/>
      <c r="E381" s="732"/>
      <c r="F381" s="857"/>
      <c r="G381" s="1111"/>
    </row>
    <row r="382" spans="1:7" x14ac:dyDescent="0.2">
      <c r="A382" s="1551"/>
      <c r="B382" s="852" t="s">
        <v>94</v>
      </c>
      <c r="C382" s="732"/>
      <c r="D382" s="732"/>
      <c r="E382" s="732"/>
      <c r="F382" s="857"/>
      <c r="G382" s="1111"/>
    </row>
    <row r="383" spans="1:7" ht="13.5" thickBot="1" x14ac:dyDescent="0.25">
      <c r="A383" s="1551"/>
      <c r="B383" s="853" t="s">
        <v>103</v>
      </c>
      <c r="C383" s="734"/>
      <c r="D383" s="734"/>
      <c r="E383" s="734"/>
      <c r="F383" s="858"/>
      <c r="G383" s="1111"/>
    </row>
    <row r="384" spans="1:7" ht="13.5" thickBot="1" x14ac:dyDescent="0.25">
      <c r="A384" s="1551"/>
      <c r="B384" s="848" t="s">
        <v>14</v>
      </c>
      <c r="C384" s="740">
        <f>SUM(C374:C383)</f>
        <v>5341632</v>
      </c>
      <c r="D384" s="740">
        <f>SUM(D374:D383)</f>
        <v>6305259</v>
      </c>
      <c r="E384" s="740">
        <f>SUM(E374:E383)</f>
        <v>5021717</v>
      </c>
      <c r="F384" s="849">
        <f>E384/D384*100</f>
        <v>79.643310449261477</v>
      </c>
      <c r="G384" s="1111"/>
    </row>
    <row r="385" spans="1:7" x14ac:dyDescent="0.2">
      <c r="A385" s="1550" t="s">
        <v>490</v>
      </c>
      <c r="B385" s="850" t="s">
        <v>88</v>
      </c>
      <c r="C385" s="844"/>
      <c r="D385" s="844"/>
      <c r="E385" s="844"/>
      <c r="F385" s="856"/>
      <c r="G385" s="1111"/>
    </row>
    <row r="386" spans="1:7" ht="25.5" x14ac:dyDescent="0.2">
      <c r="A386" s="1551"/>
      <c r="B386" s="852" t="s">
        <v>101</v>
      </c>
      <c r="C386" s="717"/>
      <c r="D386" s="717"/>
      <c r="E386" s="717"/>
      <c r="F386" s="857"/>
      <c r="G386" s="1111"/>
    </row>
    <row r="387" spans="1:7" x14ac:dyDescent="0.2">
      <c r="A387" s="1551"/>
      <c r="B387" s="852" t="s">
        <v>90</v>
      </c>
      <c r="C387" s="717">
        <v>5118000</v>
      </c>
      <c r="D387" s="717">
        <v>5118000</v>
      </c>
      <c r="E387" s="717">
        <v>4837500</v>
      </c>
      <c r="F387" s="857">
        <f>E387/D387*100</f>
        <v>94.519343493552171</v>
      </c>
      <c r="G387" s="1111"/>
    </row>
    <row r="388" spans="1:7" x14ac:dyDescent="0.2">
      <c r="A388" s="1551"/>
      <c r="B388" s="852" t="s">
        <v>102</v>
      </c>
      <c r="C388" s="717">
        <v>33063165</v>
      </c>
      <c r="D388" s="717">
        <v>8263165</v>
      </c>
      <c r="E388" s="717">
        <v>7761403</v>
      </c>
      <c r="F388" s="857">
        <f>E388/D388*100</f>
        <v>93.927726240490173</v>
      </c>
      <c r="G388" s="1111"/>
    </row>
    <row r="389" spans="1:7" ht="25.5" x14ac:dyDescent="0.2">
      <c r="A389" s="1551"/>
      <c r="B389" s="852" t="s">
        <v>97</v>
      </c>
      <c r="C389" s="717">
        <v>400000</v>
      </c>
      <c r="D389" s="717">
        <v>4946000</v>
      </c>
      <c r="E389" s="717">
        <v>4946000</v>
      </c>
      <c r="F389" s="857">
        <f>E389/D389*100</f>
        <v>100</v>
      </c>
      <c r="G389" s="1111"/>
    </row>
    <row r="390" spans="1:7" x14ac:dyDescent="0.2">
      <c r="A390" s="1551"/>
      <c r="B390" s="852" t="s">
        <v>627</v>
      </c>
      <c r="C390" s="717"/>
      <c r="D390" s="717"/>
      <c r="E390" s="717"/>
      <c r="F390" s="857"/>
      <c r="G390" s="1111"/>
    </row>
    <row r="391" spans="1:7" x14ac:dyDescent="0.2">
      <c r="A391" s="1551"/>
      <c r="B391" s="852" t="s">
        <v>92</v>
      </c>
      <c r="C391" s="717"/>
      <c r="D391" s="717"/>
      <c r="E391" s="717"/>
      <c r="F391" s="857"/>
      <c r="G391" s="1111"/>
    </row>
    <row r="392" spans="1:7" x14ac:dyDescent="0.2">
      <c r="A392" s="1551"/>
      <c r="B392" s="852" t="s">
        <v>93</v>
      </c>
      <c r="C392" s="732"/>
      <c r="D392" s="732"/>
      <c r="E392" s="732"/>
      <c r="F392" s="857"/>
      <c r="G392" s="1111"/>
    </row>
    <row r="393" spans="1:7" x14ac:dyDescent="0.2">
      <c r="A393" s="1551"/>
      <c r="B393" s="852" t="s">
        <v>94</v>
      </c>
      <c r="C393" s="732"/>
      <c r="D393" s="732"/>
      <c r="E393" s="732"/>
      <c r="F393" s="857"/>
      <c r="G393" s="1111"/>
    </row>
    <row r="394" spans="1:7" ht="13.5" thickBot="1" x14ac:dyDescent="0.25">
      <c r="A394" s="1551"/>
      <c r="B394" s="853" t="s">
        <v>103</v>
      </c>
      <c r="C394" s="734"/>
      <c r="D394" s="734"/>
      <c r="E394" s="734"/>
      <c r="F394" s="858"/>
      <c r="G394" s="1111"/>
    </row>
    <row r="395" spans="1:7" ht="13.5" thickBot="1" x14ac:dyDescent="0.25">
      <c r="A395" s="1551"/>
      <c r="B395" s="848" t="s">
        <v>14</v>
      </c>
      <c r="C395" s="740">
        <f>SUM(C385:C394)</f>
        <v>38581165</v>
      </c>
      <c r="D395" s="740">
        <f>SUM(D385:D394)</f>
        <v>18327165</v>
      </c>
      <c r="E395" s="740">
        <f>SUM(E385:E394)</f>
        <v>17544903</v>
      </c>
      <c r="F395" s="849">
        <f>E395/D395*100</f>
        <v>95.731680268061098</v>
      </c>
      <c r="G395" s="1111"/>
    </row>
    <row r="396" spans="1:7" x14ac:dyDescent="0.2">
      <c r="A396" s="1550" t="s">
        <v>612</v>
      </c>
      <c r="B396" s="850" t="s">
        <v>88</v>
      </c>
      <c r="C396" s="844"/>
      <c r="D396" s="844">
        <v>2615100</v>
      </c>
      <c r="E396" s="844">
        <v>1462500</v>
      </c>
      <c r="F396" s="857">
        <f t="shared" ref="F396:F397" si="19">E396/D396*100</f>
        <v>55.92520362510038</v>
      </c>
      <c r="G396" s="1111"/>
    </row>
    <row r="397" spans="1:7" ht="25.5" x14ac:dyDescent="0.2">
      <c r="A397" s="1551"/>
      <c r="B397" s="852" t="s">
        <v>101</v>
      </c>
      <c r="C397" s="717"/>
      <c r="D397" s="717">
        <v>409496</v>
      </c>
      <c r="E397" s="717">
        <v>255935</v>
      </c>
      <c r="F397" s="857">
        <f t="shared" si="19"/>
        <v>62.5</v>
      </c>
      <c r="G397" s="1111"/>
    </row>
    <row r="398" spans="1:7" x14ac:dyDescent="0.2">
      <c r="A398" s="1551"/>
      <c r="B398" s="852" t="s">
        <v>90</v>
      </c>
      <c r="C398" s="717"/>
      <c r="D398" s="717">
        <v>18699059</v>
      </c>
      <c r="E398" s="717"/>
      <c r="F398" s="857"/>
      <c r="G398" s="1111"/>
    </row>
    <row r="399" spans="1:7" x14ac:dyDescent="0.2">
      <c r="A399" s="1551"/>
      <c r="B399" s="852" t="s">
        <v>102</v>
      </c>
      <c r="C399" s="717"/>
      <c r="D399" s="717"/>
      <c r="E399" s="717"/>
      <c r="F399" s="845"/>
      <c r="G399" s="1111"/>
    </row>
    <row r="400" spans="1:7" ht="25.5" x14ac:dyDescent="0.2">
      <c r="A400" s="1551"/>
      <c r="B400" s="852" t="s">
        <v>97</v>
      </c>
      <c r="C400" s="717"/>
      <c r="D400" s="717"/>
      <c r="E400" s="717"/>
      <c r="F400" s="845"/>
      <c r="G400" s="1111"/>
    </row>
    <row r="401" spans="1:7" x14ac:dyDescent="0.2">
      <c r="A401" s="1551"/>
      <c r="B401" s="852" t="s">
        <v>627</v>
      </c>
      <c r="C401" s="717"/>
      <c r="D401" s="717"/>
      <c r="E401" s="717"/>
      <c r="F401" s="845"/>
      <c r="G401" s="1111"/>
    </row>
    <row r="402" spans="1:7" x14ac:dyDescent="0.2">
      <c r="A402" s="1551"/>
      <c r="B402" s="852" t="s">
        <v>92</v>
      </c>
      <c r="C402" s="717"/>
      <c r="D402" s="717">
        <v>1391687</v>
      </c>
      <c r="E402" s="717"/>
      <c r="F402" s="845"/>
      <c r="G402" s="1111"/>
    </row>
    <row r="403" spans="1:7" x14ac:dyDescent="0.2">
      <c r="A403" s="1551"/>
      <c r="B403" s="852" t="s">
        <v>93</v>
      </c>
      <c r="C403" s="732"/>
      <c r="D403" s="732">
        <v>1391687</v>
      </c>
      <c r="E403" s="732"/>
      <c r="F403" s="845"/>
      <c r="G403" s="1111"/>
    </row>
    <row r="404" spans="1:7" x14ac:dyDescent="0.2">
      <c r="A404" s="1551"/>
      <c r="B404" s="852" t="s">
        <v>94</v>
      </c>
      <c r="C404" s="732"/>
      <c r="D404" s="732"/>
      <c r="E404" s="732"/>
      <c r="F404" s="845"/>
      <c r="G404" s="1111"/>
    </row>
    <row r="405" spans="1:7" ht="13.5" thickBot="1" x14ac:dyDescent="0.25">
      <c r="A405" s="1551"/>
      <c r="B405" s="853" t="s">
        <v>103</v>
      </c>
      <c r="C405" s="734"/>
      <c r="D405" s="734"/>
      <c r="E405" s="734"/>
      <c r="F405" s="854"/>
      <c r="G405" s="1111"/>
    </row>
    <row r="406" spans="1:7" ht="13.5" thickBot="1" x14ac:dyDescent="0.25">
      <c r="A406" s="1551"/>
      <c r="B406" s="848" t="s">
        <v>14</v>
      </c>
      <c r="C406" s="740">
        <f>SUM(C396:C405)</f>
        <v>0</v>
      </c>
      <c r="D406" s="740">
        <f>SUM(D396:D405)</f>
        <v>24507029</v>
      </c>
      <c r="E406" s="740">
        <f>SUM(E396:E405)</f>
        <v>1718435</v>
      </c>
      <c r="F406" s="849">
        <f>E406/D406*100</f>
        <v>7.0120086771840038</v>
      </c>
      <c r="G406" s="1111"/>
    </row>
    <row r="407" spans="1:7" x14ac:dyDescent="0.2">
      <c r="A407" s="1550" t="s">
        <v>631</v>
      </c>
      <c r="B407" s="850" t="s">
        <v>88</v>
      </c>
      <c r="C407" s="844"/>
      <c r="D407" s="844">
        <v>86393</v>
      </c>
      <c r="E407" s="844">
        <v>43193</v>
      </c>
      <c r="F407" s="857">
        <f t="shared" ref="F407:F408" si="20">E407/D407*100</f>
        <v>49.995948745847464</v>
      </c>
      <c r="G407" s="1111"/>
    </row>
    <row r="408" spans="1:7" ht="25.5" x14ac:dyDescent="0.2">
      <c r="A408" s="1551"/>
      <c r="B408" s="852" t="s">
        <v>101</v>
      </c>
      <c r="C408" s="717"/>
      <c r="D408" s="717">
        <v>13607</v>
      </c>
      <c r="E408" s="717">
        <v>6803</v>
      </c>
      <c r="F408" s="857">
        <f t="shared" si="20"/>
        <v>49.996325420739325</v>
      </c>
      <c r="G408" s="1111"/>
    </row>
    <row r="409" spans="1:7" x14ac:dyDescent="0.2">
      <c r="A409" s="1551"/>
      <c r="B409" s="852" t="s">
        <v>90</v>
      </c>
      <c r="C409" s="717"/>
      <c r="D409" s="717">
        <v>508000</v>
      </c>
      <c r="E409" s="717">
        <v>508010</v>
      </c>
      <c r="F409" s="857">
        <f>E409/D409*100</f>
        <v>100.00196850393701</v>
      </c>
      <c r="G409" s="1111"/>
    </row>
    <row r="410" spans="1:7" x14ac:dyDescent="0.2">
      <c r="A410" s="1551"/>
      <c r="B410" s="852" t="s">
        <v>102</v>
      </c>
      <c r="C410" s="717"/>
      <c r="D410" s="717"/>
      <c r="E410" s="717"/>
      <c r="F410" s="845"/>
      <c r="G410" s="1111"/>
    </row>
    <row r="411" spans="1:7" ht="25.5" x14ac:dyDescent="0.2">
      <c r="A411" s="1551"/>
      <c r="B411" s="852" t="s">
        <v>97</v>
      </c>
      <c r="C411" s="717"/>
      <c r="D411" s="717"/>
      <c r="E411" s="717"/>
      <c r="F411" s="845"/>
      <c r="G411" s="1111"/>
    </row>
    <row r="412" spans="1:7" x14ac:dyDescent="0.2">
      <c r="A412" s="1551"/>
      <c r="B412" s="852" t="s">
        <v>627</v>
      </c>
      <c r="C412" s="717"/>
      <c r="D412" s="717"/>
      <c r="E412" s="717"/>
      <c r="F412" s="845"/>
      <c r="G412" s="1111"/>
    </row>
    <row r="413" spans="1:7" x14ac:dyDescent="0.2">
      <c r="A413" s="1551"/>
      <c r="B413" s="852" t="s">
        <v>92</v>
      </c>
      <c r="C413" s="717"/>
      <c r="D413" s="717"/>
      <c r="E413" s="717"/>
      <c r="F413" s="845"/>
      <c r="G413" s="1111"/>
    </row>
    <row r="414" spans="1:7" x14ac:dyDescent="0.2">
      <c r="A414" s="1551"/>
      <c r="B414" s="852" t="s">
        <v>93</v>
      </c>
      <c r="C414" s="732"/>
      <c r="D414" s="732"/>
      <c r="E414" s="732"/>
      <c r="F414" s="845"/>
      <c r="G414" s="1111"/>
    </row>
    <row r="415" spans="1:7" x14ac:dyDescent="0.2">
      <c r="A415" s="1551"/>
      <c r="B415" s="852" t="s">
        <v>94</v>
      </c>
      <c r="C415" s="732"/>
      <c r="D415" s="732"/>
      <c r="E415" s="732"/>
      <c r="F415" s="845"/>
      <c r="G415" s="1111"/>
    </row>
    <row r="416" spans="1:7" ht="13.5" thickBot="1" x14ac:dyDescent="0.25">
      <c r="A416" s="1551"/>
      <c r="B416" s="853" t="s">
        <v>103</v>
      </c>
      <c r="C416" s="734"/>
      <c r="D416" s="734"/>
      <c r="E416" s="734"/>
      <c r="F416" s="854"/>
      <c r="G416" s="1111"/>
    </row>
    <row r="417" spans="1:7" ht="13.5" thickBot="1" x14ac:dyDescent="0.25">
      <c r="A417" s="1551"/>
      <c r="B417" s="848" t="s">
        <v>14</v>
      </c>
      <c r="C417" s="740">
        <f>SUM(C407:C416)</f>
        <v>0</v>
      </c>
      <c r="D417" s="740">
        <f>SUM(D407:D416)</f>
        <v>608000</v>
      </c>
      <c r="E417" s="740">
        <f>SUM(E407:E416)</f>
        <v>558006</v>
      </c>
      <c r="F417" s="849">
        <f>E417/D417*100</f>
        <v>91.777302631578948</v>
      </c>
      <c r="G417" s="1111"/>
    </row>
    <row r="418" spans="1:7" x14ac:dyDescent="0.2">
      <c r="A418" s="1550" t="s">
        <v>491</v>
      </c>
      <c r="B418" s="850" t="s">
        <v>88</v>
      </c>
      <c r="C418" s="844"/>
      <c r="D418" s="844"/>
      <c r="E418" s="844"/>
      <c r="F418" s="851"/>
      <c r="G418" s="1111"/>
    </row>
    <row r="419" spans="1:7" ht="25.5" x14ac:dyDescent="0.2">
      <c r="A419" s="1551"/>
      <c r="B419" s="852" t="s">
        <v>101</v>
      </c>
      <c r="C419" s="717"/>
      <c r="D419" s="717"/>
      <c r="E419" s="717"/>
      <c r="F419" s="845"/>
      <c r="G419" s="1111"/>
    </row>
    <row r="420" spans="1:7" x14ac:dyDescent="0.2">
      <c r="A420" s="1551"/>
      <c r="B420" s="852" t="s">
        <v>90</v>
      </c>
      <c r="C420" s="717">
        <v>4500000</v>
      </c>
      <c r="D420" s="717"/>
      <c r="E420" s="717"/>
      <c r="F420" s="857"/>
      <c r="G420" s="1111"/>
    </row>
    <row r="421" spans="1:7" x14ac:dyDescent="0.2">
      <c r="A421" s="1551"/>
      <c r="B421" s="852" t="s">
        <v>102</v>
      </c>
      <c r="C421" s="717"/>
      <c r="D421" s="717"/>
      <c r="E421" s="717"/>
      <c r="F421" s="845"/>
      <c r="G421" s="1111"/>
    </row>
    <row r="422" spans="1:7" ht="25.5" x14ac:dyDescent="0.2">
      <c r="A422" s="1551"/>
      <c r="B422" s="852" t="s">
        <v>97</v>
      </c>
      <c r="C422" s="717"/>
      <c r="D422" s="717"/>
      <c r="E422" s="717"/>
      <c r="F422" s="845"/>
      <c r="G422" s="1111"/>
    </row>
    <row r="423" spans="1:7" x14ac:dyDescent="0.2">
      <c r="A423" s="1551"/>
      <c r="B423" s="852" t="s">
        <v>627</v>
      </c>
      <c r="C423" s="717"/>
      <c r="D423" s="717"/>
      <c r="E423" s="717"/>
      <c r="F423" s="845"/>
      <c r="G423" s="1111"/>
    </row>
    <row r="424" spans="1:7" x14ac:dyDescent="0.2">
      <c r="A424" s="1551"/>
      <c r="B424" s="852" t="s">
        <v>92</v>
      </c>
      <c r="C424" s="717"/>
      <c r="D424" s="717"/>
      <c r="E424" s="717"/>
      <c r="F424" s="845"/>
      <c r="G424" s="1111"/>
    </row>
    <row r="425" spans="1:7" x14ac:dyDescent="0.2">
      <c r="A425" s="1551"/>
      <c r="B425" s="852" t="s">
        <v>93</v>
      </c>
      <c r="C425" s="732"/>
      <c r="D425" s="732"/>
      <c r="E425" s="732"/>
      <c r="F425" s="845"/>
      <c r="G425" s="1111"/>
    </row>
    <row r="426" spans="1:7" x14ac:dyDescent="0.2">
      <c r="A426" s="1551"/>
      <c r="B426" s="852" t="s">
        <v>94</v>
      </c>
      <c r="C426" s="732"/>
      <c r="D426" s="732"/>
      <c r="E426" s="732"/>
      <c r="F426" s="845"/>
      <c r="G426" s="1111"/>
    </row>
    <row r="427" spans="1:7" ht="13.5" thickBot="1" x14ac:dyDescent="0.25">
      <c r="A427" s="1551"/>
      <c r="B427" s="853" t="s">
        <v>103</v>
      </c>
      <c r="C427" s="734"/>
      <c r="D427" s="734"/>
      <c r="E427" s="734"/>
      <c r="F427" s="854"/>
      <c r="G427" s="1111"/>
    </row>
    <row r="428" spans="1:7" ht="13.5" thickBot="1" x14ac:dyDescent="0.25">
      <c r="A428" s="1551"/>
      <c r="B428" s="848" t="s">
        <v>14</v>
      </c>
      <c r="C428" s="740">
        <f>SUM(C418:C427)</f>
        <v>4500000</v>
      </c>
      <c r="D428" s="740">
        <f>SUM(D418:D427)</f>
        <v>0</v>
      </c>
      <c r="E428" s="740">
        <f>SUM(E418:E427)</f>
        <v>0</v>
      </c>
      <c r="F428" s="849"/>
      <c r="G428" s="1111"/>
    </row>
    <row r="429" spans="1:7" x14ac:dyDescent="0.2">
      <c r="A429" s="1550" t="s">
        <v>76</v>
      </c>
      <c r="B429" s="850" t="s">
        <v>88</v>
      </c>
      <c r="C429" s="844"/>
      <c r="D429" s="844"/>
      <c r="E429" s="844"/>
      <c r="F429" s="856"/>
      <c r="G429" s="1111"/>
    </row>
    <row r="430" spans="1:7" ht="25.5" x14ac:dyDescent="0.2">
      <c r="A430" s="1551"/>
      <c r="B430" s="852" t="s">
        <v>101</v>
      </c>
      <c r="C430" s="717"/>
      <c r="D430" s="717"/>
      <c r="E430" s="717"/>
      <c r="F430" s="857"/>
      <c r="G430" s="1111"/>
    </row>
    <row r="431" spans="1:7" x14ac:dyDescent="0.2">
      <c r="A431" s="1551"/>
      <c r="B431" s="852" t="s">
        <v>90</v>
      </c>
      <c r="C431" s="717">
        <v>3843904</v>
      </c>
      <c r="D431" s="717">
        <v>3843904</v>
      </c>
      <c r="E431" s="717">
        <v>2848485</v>
      </c>
      <c r="F431" s="857">
        <f>E431/D431*100</f>
        <v>74.103957851184632</v>
      </c>
      <c r="G431" s="1111"/>
    </row>
    <row r="432" spans="1:7" x14ac:dyDescent="0.2">
      <c r="A432" s="1551"/>
      <c r="B432" s="852" t="s">
        <v>102</v>
      </c>
      <c r="C432" s="717"/>
      <c r="D432" s="717"/>
      <c r="E432" s="717"/>
      <c r="F432" s="857"/>
      <c r="G432" s="1111"/>
    </row>
    <row r="433" spans="1:7" ht="25.5" x14ac:dyDescent="0.2">
      <c r="A433" s="1551"/>
      <c r="B433" s="852" t="s">
        <v>97</v>
      </c>
      <c r="C433" s="717"/>
      <c r="D433" s="717"/>
      <c r="E433" s="717"/>
      <c r="F433" s="857"/>
      <c r="G433" s="1111"/>
    </row>
    <row r="434" spans="1:7" x14ac:dyDescent="0.2">
      <c r="A434" s="1551"/>
      <c r="B434" s="852" t="s">
        <v>627</v>
      </c>
      <c r="C434" s="717"/>
      <c r="D434" s="717"/>
      <c r="E434" s="717"/>
      <c r="F434" s="857"/>
      <c r="G434" s="1111"/>
    </row>
    <row r="435" spans="1:7" x14ac:dyDescent="0.2">
      <c r="A435" s="1551"/>
      <c r="B435" s="852" t="s">
        <v>92</v>
      </c>
      <c r="C435" s="717"/>
      <c r="D435" s="717"/>
      <c r="E435" s="717"/>
      <c r="F435" s="857"/>
      <c r="G435" s="1111"/>
    </row>
    <row r="436" spans="1:7" x14ac:dyDescent="0.2">
      <c r="A436" s="1551"/>
      <c r="B436" s="852" t="s">
        <v>93</v>
      </c>
      <c r="C436" s="732"/>
      <c r="D436" s="732"/>
      <c r="E436" s="732"/>
      <c r="F436" s="857"/>
      <c r="G436" s="1111"/>
    </row>
    <row r="437" spans="1:7" x14ac:dyDescent="0.2">
      <c r="A437" s="1551"/>
      <c r="B437" s="852" t="s">
        <v>94</v>
      </c>
      <c r="C437" s="732"/>
      <c r="D437" s="732"/>
      <c r="E437" s="732"/>
      <c r="F437" s="857"/>
      <c r="G437" s="1111"/>
    </row>
    <row r="438" spans="1:7" ht="13.5" thickBot="1" x14ac:dyDescent="0.25">
      <c r="A438" s="1551"/>
      <c r="B438" s="853" t="s">
        <v>103</v>
      </c>
      <c r="C438" s="734">
        <v>10449365</v>
      </c>
      <c r="D438" s="734">
        <v>10449365</v>
      </c>
      <c r="E438" s="734">
        <v>10449365</v>
      </c>
      <c r="F438" s="857">
        <f t="shared" ref="F438" si="21">E438/D438*100</f>
        <v>100</v>
      </c>
      <c r="G438" s="1111"/>
    </row>
    <row r="439" spans="1:7" ht="13.5" thickBot="1" x14ac:dyDescent="0.25">
      <c r="A439" s="1551"/>
      <c r="B439" s="848" t="s">
        <v>14</v>
      </c>
      <c r="C439" s="740">
        <f>SUM(C429:C438)</f>
        <v>14293269</v>
      </c>
      <c r="D439" s="740">
        <f>SUM(D429:D438)</f>
        <v>14293269</v>
      </c>
      <c r="E439" s="740">
        <f>SUM(E429:E438)</f>
        <v>13297850</v>
      </c>
      <c r="F439" s="849">
        <f>E439/D439*100</f>
        <v>93.035749904378065</v>
      </c>
      <c r="G439" s="1111"/>
    </row>
    <row r="440" spans="1:7" ht="13.5" thickBot="1" x14ac:dyDescent="0.25">
      <c r="A440" s="1553" t="s">
        <v>11</v>
      </c>
      <c r="B440" s="1148" t="s">
        <v>88</v>
      </c>
      <c r="C440" s="1151">
        <f t="shared" ref="C440:C449" si="22">SUM(C429+C418+C385+C374+C362+C351+C340+C329+C317+C306+C284+C273+C261+C239+C228+C217+C205+C194+C183+C172+C149+C138+C127+C105+C94+C83+C71+C60+C49+C38+C27+C16+C5+C116)+C407+C396+C295+C250+C161</f>
        <v>91005049</v>
      </c>
      <c r="D440" s="1151">
        <f t="shared" ref="D440:E440" si="23">SUM(D429+D418+D385+D374+D362+D351+D340+D329+D317+D306+D284+D273+D261+D239+D228+D217+D205+D194+D183+D172+D149+D138+D127+D105+D94+D83+D71+D60+D49+D38+D27+D16+D5+D116)+D407+D396+D295+D250+D161</f>
        <v>434213112</v>
      </c>
      <c r="E440" s="1151">
        <f t="shared" si="23"/>
        <v>365595885</v>
      </c>
      <c r="F440" s="992">
        <f>E440/D440*100</f>
        <v>84.197338794319961</v>
      </c>
    </row>
    <row r="441" spans="1:7" ht="26.25" thickBot="1" x14ac:dyDescent="0.25">
      <c r="A441" s="1554"/>
      <c r="B441" s="1149" t="s">
        <v>101</v>
      </c>
      <c r="C441" s="1151">
        <f t="shared" si="22"/>
        <v>11979743</v>
      </c>
      <c r="D441" s="1151">
        <f t="shared" ref="D441:E449" si="24">SUM(D430+D419+D386+D375+D363+D352+D341+D330+D318+D307+D285+D274+D262+D240+D229+D218+D206+D195+D184+D173+D150+D139+D128+D106+D95+D84+D72+D61+D50+D39+D28+D17+D6+D117)+D408+D397+D296+D251+D162</f>
        <v>45300901</v>
      </c>
      <c r="E441" s="1151">
        <f t="shared" si="24"/>
        <v>40180183</v>
      </c>
      <c r="F441" s="1161">
        <f t="shared" ref="F441:F450" si="25">E441/D441*100</f>
        <v>88.696211583076462</v>
      </c>
    </row>
    <row r="442" spans="1:7" ht="13.5" thickBot="1" x14ac:dyDescent="0.25">
      <c r="A442" s="1554"/>
      <c r="B442" s="1149" t="s">
        <v>90</v>
      </c>
      <c r="C442" s="1151">
        <f t="shared" si="22"/>
        <v>167106883</v>
      </c>
      <c r="D442" s="1151">
        <f t="shared" si="24"/>
        <v>817070561</v>
      </c>
      <c r="E442" s="1151">
        <f t="shared" si="24"/>
        <v>401283243</v>
      </c>
      <c r="F442" s="992">
        <f t="shared" si="25"/>
        <v>49.112434366607907</v>
      </c>
    </row>
    <row r="443" spans="1:7" ht="19.5" customHeight="1" thickBot="1" x14ac:dyDescent="0.25">
      <c r="A443" s="1554"/>
      <c r="B443" s="1149" t="s">
        <v>102</v>
      </c>
      <c r="C443" s="1151">
        <f t="shared" si="22"/>
        <v>34963165</v>
      </c>
      <c r="D443" s="1151">
        <f t="shared" si="24"/>
        <v>10215165</v>
      </c>
      <c r="E443" s="1151">
        <f t="shared" si="24"/>
        <v>9507143</v>
      </c>
      <c r="F443" s="1161">
        <f t="shared" si="25"/>
        <v>93.068912739050219</v>
      </c>
    </row>
    <row r="444" spans="1:7" ht="26.25" thickBot="1" x14ac:dyDescent="0.25">
      <c r="A444" s="1554"/>
      <c r="B444" s="1149" t="s">
        <v>97</v>
      </c>
      <c r="C444" s="1151">
        <f t="shared" si="22"/>
        <v>79940511</v>
      </c>
      <c r="D444" s="1151">
        <f t="shared" si="24"/>
        <v>104211194</v>
      </c>
      <c r="E444" s="1151">
        <f t="shared" si="24"/>
        <v>103463523</v>
      </c>
      <c r="F444" s="992">
        <f t="shared" si="25"/>
        <v>99.282542526093692</v>
      </c>
    </row>
    <row r="445" spans="1:7" ht="13.5" thickBot="1" x14ac:dyDescent="0.25">
      <c r="A445" s="1554"/>
      <c r="B445" s="1149" t="s">
        <v>627</v>
      </c>
      <c r="C445" s="1151">
        <f t="shared" si="22"/>
        <v>12668247</v>
      </c>
      <c r="D445" s="1151">
        <f t="shared" si="24"/>
        <v>4278285</v>
      </c>
      <c r="E445" s="1151">
        <f t="shared" si="24"/>
        <v>0</v>
      </c>
      <c r="F445" s="1161"/>
    </row>
    <row r="446" spans="1:7" ht="13.5" thickBot="1" x14ac:dyDescent="0.25">
      <c r="A446" s="1554"/>
      <c r="B446" s="1149" t="s">
        <v>92</v>
      </c>
      <c r="C446" s="1151">
        <f t="shared" si="22"/>
        <v>2520052989</v>
      </c>
      <c r="D446" s="1151">
        <f t="shared" si="24"/>
        <v>1705637994</v>
      </c>
      <c r="E446" s="1151">
        <f t="shared" si="24"/>
        <v>842300249</v>
      </c>
      <c r="F446" s="992">
        <f t="shared" si="25"/>
        <v>49.383295398144142</v>
      </c>
    </row>
    <row r="447" spans="1:7" ht="13.5" thickBot="1" x14ac:dyDescent="0.25">
      <c r="A447" s="1554"/>
      <c r="B447" s="1149" t="s">
        <v>93</v>
      </c>
      <c r="C447" s="1151">
        <f t="shared" si="22"/>
        <v>13426123</v>
      </c>
      <c r="D447" s="1151">
        <f t="shared" si="24"/>
        <v>45391427</v>
      </c>
      <c r="E447" s="1151">
        <f t="shared" si="24"/>
        <v>39441130</v>
      </c>
      <c r="F447" s="992">
        <f t="shared" si="25"/>
        <v>86.891143563298854</v>
      </c>
    </row>
    <row r="448" spans="1:7" ht="13.5" thickBot="1" x14ac:dyDescent="0.25">
      <c r="A448" s="1554"/>
      <c r="B448" s="1149" t="s">
        <v>94</v>
      </c>
      <c r="C448" s="1151">
        <f t="shared" si="22"/>
        <v>0</v>
      </c>
      <c r="D448" s="1151">
        <f t="shared" si="24"/>
        <v>1207165</v>
      </c>
      <c r="E448" s="1151">
        <f t="shared" si="24"/>
        <v>1207165</v>
      </c>
      <c r="F448" s="1161">
        <f t="shared" si="25"/>
        <v>100</v>
      </c>
    </row>
    <row r="449" spans="1:6" ht="13.5" thickBot="1" x14ac:dyDescent="0.25">
      <c r="A449" s="1554"/>
      <c r="B449" s="1150" t="s">
        <v>103</v>
      </c>
      <c r="C449" s="1151">
        <f t="shared" si="22"/>
        <v>168634213</v>
      </c>
      <c r="D449" s="1151">
        <f t="shared" si="24"/>
        <v>234546980</v>
      </c>
      <c r="E449" s="1151">
        <f t="shared" si="24"/>
        <v>219513435</v>
      </c>
      <c r="F449" s="992">
        <f t="shared" si="25"/>
        <v>93.590390718311539</v>
      </c>
    </row>
    <row r="450" spans="1:6" ht="13.5" thickBot="1" x14ac:dyDescent="0.25">
      <c r="A450" s="1555"/>
      <c r="B450" s="993" t="s">
        <v>14</v>
      </c>
      <c r="C450" s="1163">
        <f>SUM(C440:C449)</f>
        <v>3099776923</v>
      </c>
      <c r="D450" s="1163">
        <f t="shared" ref="D450:E450" si="26">SUM(D440:D449)</f>
        <v>3402072784</v>
      </c>
      <c r="E450" s="1163">
        <f t="shared" si="26"/>
        <v>2022491956</v>
      </c>
      <c r="F450" s="1162">
        <f t="shared" si="25"/>
        <v>59.448815013947097</v>
      </c>
    </row>
    <row r="451" spans="1:6" x14ac:dyDescent="0.2">
      <c r="A451" s="998"/>
      <c r="B451" s="998"/>
      <c r="C451" s="999"/>
      <c r="D451" s="999"/>
      <c r="E451" s="999"/>
      <c r="F451" s="999"/>
    </row>
    <row r="452" spans="1:6" x14ac:dyDescent="0.2">
      <c r="A452" s="998"/>
      <c r="B452" s="998"/>
      <c r="C452" s="999"/>
      <c r="D452" s="999"/>
      <c r="E452" s="999"/>
      <c r="F452" s="999"/>
    </row>
    <row r="453" spans="1:6" x14ac:dyDescent="0.2">
      <c r="A453" s="998"/>
      <c r="B453" s="998"/>
      <c r="C453" s="999"/>
      <c r="D453" s="999"/>
      <c r="E453" s="999"/>
      <c r="F453" s="999"/>
    </row>
    <row r="454" spans="1:6" x14ac:dyDescent="0.2">
      <c r="A454" s="998"/>
      <c r="B454" s="998"/>
      <c r="C454" s="999"/>
      <c r="D454" s="999"/>
      <c r="E454" s="999"/>
      <c r="F454" s="999"/>
    </row>
    <row r="455" spans="1:6" x14ac:dyDescent="0.2">
      <c r="A455" s="998"/>
      <c r="B455" s="998"/>
      <c r="C455" s="999"/>
      <c r="D455" s="999"/>
      <c r="E455" s="999"/>
      <c r="F455" s="999"/>
    </row>
    <row r="456" spans="1:6" x14ac:dyDescent="0.2">
      <c r="A456" s="998"/>
      <c r="B456" s="998"/>
      <c r="C456" s="999"/>
      <c r="D456" s="999"/>
      <c r="E456" s="999"/>
      <c r="F456" s="999"/>
    </row>
    <row r="457" spans="1:6" x14ac:dyDescent="0.2">
      <c r="A457" s="998"/>
      <c r="B457" s="998"/>
      <c r="C457" s="999"/>
      <c r="D457" s="999"/>
      <c r="E457" s="999"/>
      <c r="F457" s="999"/>
    </row>
    <row r="458" spans="1:6" x14ac:dyDescent="0.2">
      <c r="A458" s="998"/>
      <c r="B458" s="998"/>
      <c r="C458" s="999"/>
      <c r="D458" s="999"/>
      <c r="E458" s="999"/>
      <c r="F458" s="999"/>
    </row>
    <row r="459" spans="1:6" x14ac:dyDescent="0.2">
      <c r="A459" s="998"/>
      <c r="B459" s="998"/>
      <c r="C459" s="999"/>
      <c r="D459" s="999"/>
      <c r="E459" s="999"/>
      <c r="F459" s="999"/>
    </row>
    <row r="460" spans="1:6" x14ac:dyDescent="0.2">
      <c r="A460" s="998"/>
      <c r="B460" s="998"/>
      <c r="C460" s="999"/>
      <c r="D460" s="999"/>
      <c r="E460" s="999"/>
      <c r="F460" s="999"/>
    </row>
    <row r="461" spans="1:6" x14ac:dyDescent="0.2">
      <c r="A461" s="998"/>
      <c r="B461" s="998"/>
      <c r="C461" s="999"/>
      <c r="D461" s="999"/>
      <c r="E461" s="999"/>
      <c r="F461" s="999"/>
    </row>
    <row r="462" spans="1:6" x14ac:dyDescent="0.2">
      <c r="A462" s="998"/>
      <c r="B462" s="998"/>
      <c r="C462" s="999"/>
      <c r="D462" s="999"/>
      <c r="E462" s="999"/>
      <c r="F462" s="999"/>
    </row>
    <row r="463" spans="1:6" x14ac:dyDescent="0.2">
      <c r="A463" s="998"/>
      <c r="B463" s="998"/>
      <c r="C463" s="999"/>
      <c r="D463" s="999"/>
      <c r="E463" s="999"/>
      <c r="F463" s="999"/>
    </row>
    <row r="464" spans="1:6" x14ac:dyDescent="0.2">
      <c r="A464" s="998"/>
      <c r="B464" s="998"/>
      <c r="C464" s="999"/>
      <c r="D464" s="999"/>
      <c r="E464" s="999"/>
      <c r="F464" s="999"/>
    </row>
    <row r="465" spans="1:6" x14ac:dyDescent="0.2">
      <c r="A465" s="1000"/>
      <c r="B465" s="1000"/>
      <c r="C465" s="1001"/>
      <c r="D465" s="1001"/>
      <c r="E465" s="1001"/>
      <c r="F465" s="1001"/>
    </row>
    <row r="466" spans="1:6" x14ac:dyDescent="0.2">
      <c r="B466" s="998"/>
      <c r="C466" s="1002"/>
      <c r="D466" s="1002"/>
      <c r="E466" s="1002"/>
      <c r="F466" s="1002"/>
    </row>
    <row r="467" spans="1:6" x14ac:dyDescent="0.2">
      <c r="C467" s="1002"/>
      <c r="D467" s="1002"/>
      <c r="E467" s="1002"/>
      <c r="F467" s="1002"/>
    </row>
  </sheetData>
  <mergeCells count="42">
    <mergeCell ref="A161:A171"/>
    <mergeCell ref="A250:A260"/>
    <mergeCell ref="A295:A305"/>
    <mergeCell ref="A396:A406"/>
    <mergeCell ref="A407:A417"/>
    <mergeCell ref="A440:A450"/>
    <mergeCell ref="A429:A439"/>
    <mergeCell ref="A374:A384"/>
    <mergeCell ref="A385:A395"/>
    <mergeCell ref="A418:A428"/>
    <mergeCell ref="A149:A159"/>
    <mergeCell ref="A172:A182"/>
    <mergeCell ref="A183:A193"/>
    <mergeCell ref="A194:A204"/>
    <mergeCell ref="A362:A372"/>
    <mergeCell ref="A340:A350"/>
    <mergeCell ref="A351:A361"/>
    <mergeCell ref="A329:A339"/>
    <mergeCell ref="A205:A215"/>
    <mergeCell ref="A261:A271"/>
    <mergeCell ref="A273:A283"/>
    <mergeCell ref="A317:A327"/>
    <mergeCell ref="A217:A227"/>
    <mergeCell ref="A228:A238"/>
    <mergeCell ref="A239:A249"/>
    <mergeCell ref="A284:A294"/>
    <mergeCell ref="A1:F1"/>
    <mergeCell ref="A5:A15"/>
    <mergeCell ref="A27:A37"/>
    <mergeCell ref="A38:A48"/>
    <mergeCell ref="A306:A316"/>
    <mergeCell ref="A49:A59"/>
    <mergeCell ref="E2:F2"/>
    <mergeCell ref="A16:A26"/>
    <mergeCell ref="A60:A70"/>
    <mergeCell ref="A71:A81"/>
    <mergeCell ref="A83:A93"/>
    <mergeCell ref="A105:A115"/>
    <mergeCell ref="A116:A126"/>
    <mergeCell ref="A127:A137"/>
    <mergeCell ref="A138:A148"/>
    <mergeCell ref="A94:A104"/>
  </mergeCells>
  <pageMargins left="0.74803149606299213" right="0.74803149606299213" top="0.98425196850393704" bottom="0.98425196850393704" header="0.51181102362204722" footer="0.51181102362204722"/>
  <pageSetup paperSize="9" scale="47" orientation="portrait" r:id="rId1"/>
  <headerFooter alignWithMargins="0">
    <oddHeader>&amp;R2.1. sz. melléklet
.../2020.(VI.25.) Egyek Önk.</oddHeader>
  </headerFooter>
  <rowBreaks count="6" manualBreakCount="6">
    <brk id="81" max="5" man="1"/>
    <brk id="159" max="5" man="1"/>
    <brk id="215" max="5" man="1"/>
    <brk id="271" max="5" man="1"/>
    <brk id="327" max="5" man="1"/>
    <brk id="372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7"/>
  <sheetViews>
    <sheetView topLeftCell="A383" zoomScale="110" zoomScaleNormal="110" zoomScaleSheetLayoutView="90" workbookViewId="0">
      <selection activeCell="A406" sqref="A406:A416"/>
    </sheetView>
  </sheetViews>
  <sheetFormatPr defaultRowHeight="12.75" x14ac:dyDescent="0.2"/>
  <cols>
    <col min="1" max="1" width="30.7109375" style="24" customWidth="1"/>
    <col min="2" max="2" width="49" style="24" customWidth="1"/>
    <col min="3" max="3" width="19.140625" style="839" customWidth="1"/>
    <col min="4" max="4" width="17.28515625" style="839" customWidth="1"/>
    <col min="5" max="5" width="21" style="839" customWidth="1"/>
    <col min="6" max="6" width="14.5703125" style="839" customWidth="1"/>
    <col min="7" max="7" width="18" customWidth="1"/>
    <col min="8" max="8" width="12.5703125" customWidth="1"/>
    <col min="9" max="9" width="17.85546875" customWidth="1"/>
    <col min="10" max="10" width="16.7109375" customWidth="1"/>
    <col min="11" max="11" width="17.28515625" customWidth="1"/>
    <col min="12" max="12" width="14.42578125" customWidth="1"/>
  </cols>
  <sheetData>
    <row r="1" spans="1:11" ht="42.75" customHeight="1" x14ac:dyDescent="0.25">
      <c r="A1" s="1559" t="s">
        <v>621</v>
      </c>
      <c r="B1" s="1559"/>
      <c r="C1" s="1559"/>
      <c r="D1" s="1559"/>
      <c r="E1" s="1559"/>
      <c r="F1" s="1559"/>
      <c r="G1" s="838"/>
      <c r="H1" s="1112"/>
      <c r="I1" s="1112"/>
      <c r="J1" s="1112"/>
      <c r="K1" s="1112"/>
    </row>
    <row r="2" spans="1:11" x14ac:dyDescent="0.2">
      <c r="E2" s="1552" t="s">
        <v>184</v>
      </c>
      <c r="F2" s="1552"/>
      <c r="G2" s="575"/>
    </row>
    <row r="3" spans="1:11" ht="13.5" thickBot="1" x14ac:dyDescent="0.25">
      <c r="C3" s="24"/>
      <c r="G3" s="24"/>
      <c r="K3" s="70"/>
    </row>
    <row r="4" spans="1:11" ht="13.5" thickBot="1" x14ac:dyDescent="0.25">
      <c r="A4" s="840" t="s">
        <v>73</v>
      </c>
      <c r="B4" s="841" t="s">
        <v>24</v>
      </c>
      <c r="C4" s="842" t="s">
        <v>155</v>
      </c>
      <c r="D4" s="842" t="s">
        <v>148</v>
      </c>
      <c r="E4" s="842" t="s">
        <v>149</v>
      </c>
      <c r="F4" s="842" t="s">
        <v>150</v>
      </c>
      <c r="G4" s="1111"/>
      <c r="H4" s="224"/>
      <c r="K4" s="1"/>
    </row>
    <row r="5" spans="1:11" x14ac:dyDescent="0.2">
      <c r="A5" s="1548" t="s">
        <v>481</v>
      </c>
      <c r="B5" s="843" t="s">
        <v>88</v>
      </c>
      <c r="C5" s="844">
        <v>30106444</v>
      </c>
      <c r="D5" s="844">
        <v>28908039</v>
      </c>
      <c r="E5" s="844">
        <v>27919256</v>
      </c>
      <c r="F5" s="857">
        <f>E5/D5*100</f>
        <v>96.579556987590891</v>
      </c>
      <c r="G5" s="1111"/>
      <c r="H5" s="224"/>
      <c r="K5" s="1"/>
    </row>
    <row r="6" spans="1:11" ht="25.5" x14ac:dyDescent="0.2">
      <c r="A6" s="1549"/>
      <c r="B6" s="846" t="s">
        <v>101</v>
      </c>
      <c r="C6" s="717">
        <v>5430800</v>
      </c>
      <c r="D6" s="717">
        <v>5122888</v>
      </c>
      <c r="E6" s="717">
        <v>5041820</v>
      </c>
      <c r="F6" s="857">
        <f t="shared" ref="F6:F13" si="0">E6/D6*100</f>
        <v>98.417533235159539</v>
      </c>
      <c r="G6" s="1111"/>
      <c r="H6" s="224"/>
    </row>
    <row r="7" spans="1:11" x14ac:dyDescent="0.2">
      <c r="A7" s="1549"/>
      <c r="B7" s="846" t="s">
        <v>90</v>
      </c>
      <c r="C7" s="717">
        <v>12455000</v>
      </c>
      <c r="D7" s="717">
        <v>25919600</v>
      </c>
      <c r="E7" s="717">
        <v>64345584</v>
      </c>
      <c r="F7" s="857">
        <f t="shared" si="0"/>
        <v>248.25068288090867</v>
      </c>
      <c r="G7" s="1111"/>
      <c r="H7" s="224"/>
    </row>
    <row r="8" spans="1:11" x14ac:dyDescent="0.2">
      <c r="A8" s="1549"/>
      <c r="B8" s="846" t="s">
        <v>102</v>
      </c>
      <c r="C8" s="717"/>
      <c r="D8" s="717"/>
      <c r="E8" s="717"/>
      <c r="F8" s="857"/>
      <c r="G8" s="1111"/>
      <c r="H8" s="224"/>
    </row>
    <row r="9" spans="1:11" ht="25.5" x14ac:dyDescent="0.2">
      <c r="A9" s="1549"/>
      <c r="B9" s="846" t="s">
        <v>97</v>
      </c>
      <c r="C9" s="717">
        <v>2561169</v>
      </c>
      <c r="D9" s="717">
        <f>8711169-2017288</f>
        <v>6693881</v>
      </c>
      <c r="E9" s="717">
        <v>3716271</v>
      </c>
      <c r="F9" s="857">
        <f t="shared" si="0"/>
        <v>55.517434504736485</v>
      </c>
      <c r="G9" s="1111"/>
      <c r="H9" s="224"/>
    </row>
    <row r="10" spans="1:11" x14ac:dyDescent="0.2">
      <c r="A10" s="1549"/>
      <c r="B10" s="846" t="s">
        <v>627</v>
      </c>
      <c r="C10" s="717">
        <v>10000000</v>
      </c>
      <c r="D10" s="717">
        <v>2017288</v>
      </c>
      <c r="E10" s="717"/>
      <c r="F10" s="857"/>
      <c r="G10" s="1111"/>
      <c r="H10" s="224"/>
    </row>
    <row r="11" spans="1:11" x14ac:dyDescent="0.2">
      <c r="A11" s="1549"/>
      <c r="B11" s="846" t="s">
        <v>92</v>
      </c>
      <c r="C11" s="717">
        <v>4275000</v>
      </c>
      <c r="D11" s="717">
        <v>4345000</v>
      </c>
      <c r="E11" s="717">
        <v>1278498</v>
      </c>
      <c r="F11" s="857">
        <f t="shared" si="0"/>
        <v>29.424579976985036</v>
      </c>
      <c r="G11" s="1111"/>
      <c r="H11" s="224"/>
    </row>
    <row r="12" spans="1:11" s="733" customFormat="1" x14ac:dyDescent="0.2">
      <c r="A12" s="1549"/>
      <c r="B12" s="846" t="s">
        <v>93</v>
      </c>
      <c r="C12" s="732"/>
      <c r="D12" s="732"/>
      <c r="E12" s="732"/>
      <c r="F12" s="857"/>
      <c r="G12" s="1246"/>
      <c r="H12" s="87"/>
    </row>
    <row r="13" spans="1:11" s="733" customFormat="1" x14ac:dyDescent="0.2">
      <c r="A13" s="1549"/>
      <c r="B13" s="846" t="s">
        <v>94</v>
      </c>
      <c r="C13" s="732"/>
      <c r="D13" s="732">
        <v>1153165</v>
      </c>
      <c r="E13" s="732">
        <v>1153165</v>
      </c>
      <c r="F13" s="857">
        <f t="shared" si="0"/>
        <v>100</v>
      </c>
      <c r="G13" s="1246"/>
      <c r="H13" s="87"/>
    </row>
    <row r="14" spans="1:11" s="733" customFormat="1" ht="13.5" thickBot="1" x14ac:dyDescent="0.25">
      <c r="A14" s="1549"/>
      <c r="B14" s="847" t="s">
        <v>103</v>
      </c>
      <c r="C14" s="734"/>
      <c r="D14" s="734"/>
      <c r="E14" s="734"/>
      <c r="F14" s="857"/>
      <c r="G14" s="1246"/>
      <c r="H14" s="87"/>
    </row>
    <row r="15" spans="1:11" s="733" customFormat="1" ht="13.5" thickBot="1" x14ac:dyDescent="0.25">
      <c r="A15" s="1549"/>
      <c r="B15" s="848" t="s">
        <v>14</v>
      </c>
      <c r="C15" s="740">
        <f>SUM(C5:C14)</f>
        <v>64828413</v>
      </c>
      <c r="D15" s="740">
        <f>SUM(D5:D14)</f>
        <v>74159861</v>
      </c>
      <c r="E15" s="740">
        <f>SUM(E5:E14)</f>
        <v>103454594</v>
      </c>
      <c r="F15" s="849">
        <f>E15/D15*100</f>
        <v>139.50214119198526</v>
      </c>
      <c r="G15" s="1246"/>
      <c r="H15" s="87"/>
    </row>
    <row r="16" spans="1:11" ht="13.15" customHeight="1" x14ac:dyDescent="0.2">
      <c r="A16" s="1550" t="s">
        <v>482</v>
      </c>
      <c r="B16" s="843" t="s">
        <v>88</v>
      </c>
      <c r="C16" s="844"/>
      <c r="D16" s="844"/>
      <c r="E16" s="844"/>
      <c r="F16" s="857"/>
      <c r="G16" s="1111"/>
      <c r="H16" s="224"/>
    </row>
    <row r="17" spans="1:8" ht="25.5" x14ac:dyDescent="0.2">
      <c r="A17" s="1551"/>
      <c r="B17" s="846" t="s">
        <v>101</v>
      </c>
      <c r="C17" s="717"/>
      <c r="D17" s="717"/>
      <c r="E17" s="717"/>
      <c r="F17" s="857"/>
      <c r="G17" s="1111"/>
      <c r="H17" s="224"/>
    </row>
    <row r="18" spans="1:8" x14ac:dyDescent="0.2">
      <c r="A18" s="1551"/>
      <c r="B18" s="846" t="s">
        <v>90</v>
      </c>
      <c r="C18" s="717">
        <v>244000</v>
      </c>
      <c r="D18" s="717">
        <v>1261999</v>
      </c>
      <c r="E18" s="717">
        <v>570515</v>
      </c>
      <c r="F18" s="857">
        <f>E18/D18*100</f>
        <v>45.207246598452137</v>
      </c>
      <c r="G18" s="1111"/>
      <c r="H18" s="224"/>
    </row>
    <row r="19" spans="1:8" x14ac:dyDescent="0.2">
      <c r="A19" s="1551"/>
      <c r="B19" s="846" t="s">
        <v>102</v>
      </c>
      <c r="C19" s="717"/>
      <c r="D19" s="717"/>
      <c r="E19" s="717"/>
      <c r="F19" s="857"/>
      <c r="G19" s="1111"/>
      <c r="H19" s="224"/>
    </row>
    <row r="20" spans="1:8" ht="25.5" x14ac:dyDescent="0.2">
      <c r="A20" s="1551"/>
      <c r="B20" s="846" t="s">
        <v>97</v>
      </c>
      <c r="C20" s="717"/>
      <c r="D20" s="717">
        <v>5000000</v>
      </c>
      <c r="E20" s="717">
        <v>5000000</v>
      </c>
      <c r="F20" s="857">
        <f t="shared" ref="F20:F26" si="1">E20/D20*100</f>
        <v>100</v>
      </c>
      <c r="G20" s="1111"/>
      <c r="H20" s="224"/>
    </row>
    <row r="21" spans="1:8" x14ac:dyDescent="0.2">
      <c r="A21" s="1551"/>
      <c r="B21" s="846" t="s">
        <v>627</v>
      </c>
      <c r="C21" s="717">
        <v>1764706</v>
      </c>
      <c r="D21" s="717">
        <v>1693514</v>
      </c>
      <c r="E21" s="717"/>
      <c r="F21" s="857"/>
      <c r="G21" s="1111"/>
      <c r="H21" s="224"/>
    </row>
    <row r="22" spans="1:8" x14ac:dyDescent="0.2">
      <c r="A22" s="1551"/>
      <c r="B22" s="846" t="s">
        <v>92</v>
      </c>
      <c r="C22" s="717">
        <v>2805000</v>
      </c>
      <c r="D22" s="717">
        <v>2487500</v>
      </c>
      <c r="E22" s="717">
        <v>1591310</v>
      </c>
      <c r="F22" s="857">
        <f t="shared" si="1"/>
        <v>63.972261306532666</v>
      </c>
      <c r="G22" s="1111"/>
      <c r="H22" s="224"/>
    </row>
    <row r="23" spans="1:8" s="733" customFormat="1" x14ac:dyDescent="0.2">
      <c r="A23" s="1551"/>
      <c r="B23" s="846" t="s">
        <v>93</v>
      </c>
      <c r="C23" s="732"/>
      <c r="D23" s="732"/>
      <c r="E23" s="732"/>
      <c r="F23" s="857"/>
      <c r="G23" s="1246"/>
      <c r="H23" s="87"/>
    </row>
    <row r="24" spans="1:8" s="733" customFormat="1" x14ac:dyDescent="0.2">
      <c r="A24" s="1551"/>
      <c r="B24" s="846" t="s">
        <v>94</v>
      </c>
      <c r="C24" s="732"/>
      <c r="D24" s="732"/>
      <c r="E24" s="732"/>
      <c r="F24" s="857"/>
      <c r="G24" s="1246"/>
      <c r="H24" s="87"/>
    </row>
    <row r="25" spans="1:8" s="733" customFormat="1" ht="13.5" thickBot="1" x14ac:dyDescent="0.25">
      <c r="A25" s="1551"/>
      <c r="B25" s="847" t="s">
        <v>103</v>
      </c>
      <c r="C25" s="734"/>
      <c r="D25" s="734"/>
      <c r="E25" s="734"/>
      <c r="F25" s="858"/>
      <c r="G25" s="1246"/>
      <c r="H25" s="87"/>
    </row>
    <row r="26" spans="1:8" s="733" customFormat="1" ht="13.5" thickBot="1" x14ac:dyDescent="0.25">
      <c r="A26" s="1551"/>
      <c r="B26" s="848" t="s">
        <v>14</v>
      </c>
      <c r="C26" s="740">
        <f>SUM(C16:C25)</f>
        <v>4813706</v>
      </c>
      <c r="D26" s="740">
        <f>SUM(D16:D25)</f>
        <v>10443013</v>
      </c>
      <c r="E26" s="740">
        <f>SUM(E16:E25)</f>
        <v>7161825</v>
      </c>
      <c r="F26" s="984">
        <f t="shared" si="1"/>
        <v>68.580064010262177</v>
      </c>
      <c r="G26" s="1246"/>
      <c r="H26" s="87"/>
    </row>
    <row r="27" spans="1:8" s="733" customFormat="1" ht="13.15" customHeight="1" x14ac:dyDescent="0.2">
      <c r="A27" s="1550" t="s">
        <v>74</v>
      </c>
      <c r="B27" s="850" t="s">
        <v>88</v>
      </c>
      <c r="C27" s="844"/>
      <c r="D27" s="844"/>
      <c r="E27" s="844"/>
      <c r="F27" s="851"/>
      <c r="G27" s="1246"/>
      <c r="H27" s="87"/>
    </row>
    <row r="28" spans="1:8" s="733" customFormat="1" ht="25.5" x14ac:dyDescent="0.2">
      <c r="A28" s="1551"/>
      <c r="B28" s="852" t="s">
        <v>101</v>
      </c>
      <c r="C28" s="717"/>
      <c r="D28" s="717"/>
      <c r="E28" s="717"/>
      <c r="F28" s="845"/>
      <c r="G28" s="1246"/>
      <c r="H28" s="87"/>
    </row>
    <row r="29" spans="1:8" s="733" customFormat="1" x14ac:dyDescent="0.2">
      <c r="A29" s="1551"/>
      <c r="B29" s="852" t="s">
        <v>90</v>
      </c>
      <c r="C29" s="717">
        <v>57964655</v>
      </c>
      <c r="D29" s="717">
        <v>68332887</v>
      </c>
      <c r="E29" s="717">
        <v>14152145</v>
      </c>
      <c r="F29" s="857">
        <f>E29/D29*100</f>
        <v>20.710591373082188</v>
      </c>
      <c r="G29" s="1246"/>
      <c r="H29" s="87"/>
    </row>
    <row r="30" spans="1:8" s="733" customFormat="1" x14ac:dyDescent="0.2">
      <c r="A30" s="1551"/>
      <c r="B30" s="852" t="s">
        <v>102</v>
      </c>
      <c r="C30" s="717"/>
      <c r="D30" s="717"/>
      <c r="E30" s="717"/>
      <c r="F30" s="845"/>
      <c r="G30" s="1246"/>
      <c r="H30" s="87"/>
    </row>
    <row r="31" spans="1:8" s="733" customFormat="1" ht="25.5" x14ac:dyDescent="0.2">
      <c r="A31" s="1551"/>
      <c r="B31" s="852" t="s">
        <v>97</v>
      </c>
      <c r="C31" s="717">
        <v>4389508</v>
      </c>
      <c r="D31" s="717">
        <v>23000</v>
      </c>
      <c r="E31" s="717"/>
      <c r="F31" s="857">
        <f>E31/D31*100</f>
        <v>0</v>
      </c>
      <c r="G31" s="1246"/>
      <c r="H31" s="87"/>
    </row>
    <row r="32" spans="1:8" s="733" customFormat="1" x14ac:dyDescent="0.2">
      <c r="A32" s="1551"/>
      <c r="B32" s="852" t="s">
        <v>628</v>
      </c>
      <c r="C32" s="717"/>
      <c r="D32" s="717"/>
      <c r="E32" s="717"/>
      <c r="F32" s="845"/>
      <c r="G32" s="1246"/>
      <c r="H32" s="87"/>
    </row>
    <row r="33" spans="1:8" s="733" customFormat="1" x14ac:dyDescent="0.2">
      <c r="A33" s="1551"/>
      <c r="B33" s="852" t="s">
        <v>92</v>
      </c>
      <c r="C33" s="717">
        <v>73655829</v>
      </c>
      <c r="D33" s="717">
        <v>64684255</v>
      </c>
      <c r="E33" s="717">
        <v>27126201</v>
      </c>
      <c r="F33" s="857">
        <f>E33/D33*100</f>
        <v>41.936327472582008</v>
      </c>
      <c r="G33" s="1246"/>
      <c r="H33" s="87"/>
    </row>
    <row r="34" spans="1:8" s="733" customFormat="1" x14ac:dyDescent="0.2">
      <c r="A34" s="1551"/>
      <c r="B34" s="852" t="s">
        <v>93</v>
      </c>
      <c r="C34" s="732"/>
      <c r="D34" s="738">
        <v>8744574</v>
      </c>
      <c r="E34" s="732">
        <v>9822980</v>
      </c>
      <c r="F34" s="857">
        <f>E34/D34*100</f>
        <v>112.33228742760939</v>
      </c>
      <c r="G34" s="1246"/>
      <c r="H34" s="87"/>
    </row>
    <row r="35" spans="1:8" s="733" customFormat="1" x14ac:dyDescent="0.2">
      <c r="A35" s="1551"/>
      <c r="B35" s="852" t="s">
        <v>94</v>
      </c>
      <c r="C35" s="732"/>
      <c r="D35" s="738">
        <v>54000</v>
      </c>
      <c r="E35" s="732">
        <v>54000</v>
      </c>
      <c r="F35" s="857">
        <f>E35/D35*100</f>
        <v>100</v>
      </c>
      <c r="G35" s="1246"/>
      <c r="H35" s="87"/>
    </row>
    <row r="36" spans="1:8" s="733" customFormat="1" ht="13.5" thickBot="1" x14ac:dyDescent="0.25">
      <c r="A36" s="1551"/>
      <c r="B36" s="853" t="s">
        <v>103</v>
      </c>
      <c r="C36" s="734"/>
      <c r="D36" s="739"/>
      <c r="E36" s="734"/>
      <c r="F36" s="858"/>
      <c r="G36" s="1246"/>
      <c r="H36" s="87"/>
    </row>
    <row r="37" spans="1:8" s="733" customFormat="1" ht="13.5" thickBot="1" x14ac:dyDescent="0.25">
      <c r="A37" s="1551"/>
      <c r="B37" s="848" t="s">
        <v>14</v>
      </c>
      <c r="C37" s="740">
        <f>SUM(C27:C36)</f>
        <v>136009992</v>
      </c>
      <c r="D37" s="740">
        <f>SUM(D27:D36)</f>
        <v>141838716</v>
      </c>
      <c r="E37" s="740">
        <f>SUM(E27:E36)</f>
        <v>51155326</v>
      </c>
      <c r="F37" s="849">
        <f>E37/D37*100</f>
        <v>36.065841148759418</v>
      </c>
      <c r="G37" s="1246"/>
      <c r="H37" s="87"/>
    </row>
    <row r="38" spans="1:8" ht="17.25" customHeight="1" x14ac:dyDescent="0.2">
      <c r="A38" s="1550" t="s">
        <v>75</v>
      </c>
      <c r="B38" s="850" t="s">
        <v>88</v>
      </c>
      <c r="C38" s="855"/>
      <c r="D38" s="855"/>
      <c r="E38" s="855"/>
      <c r="F38" s="851"/>
      <c r="G38" s="1111"/>
      <c r="H38" s="224"/>
    </row>
    <row r="39" spans="1:8" ht="25.5" x14ac:dyDescent="0.2">
      <c r="A39" s="1551"/>
      <c r="B39" s="852" t="s">
        <v>101</v>
      </c>
      <c r="C39" s="738"/>
      <c r="D39" s="738"/>
      <c r="E39" s="738"/>
      <c r="F39" s="845"/>
      <c r="G39" s="1111"/>
      <c r="H39" s="224"/>
    </row>
    <row r="40" spans="1:8" ht="17.25" customHeight="1" x14ac:dyDescent="0.2">
      <c r="A40" s="1551"/>
      <c r="B40" s="852" t="s">
        <v>90</v>
      </c>
      <c r="C40" s="738"/>
      <c r="D40" s="738"/>
      <c r="E40" s="738"/>
      <c r="F40" s="845"/>
      <c r="G40" s="1111"/>
      <c r="H40" s="224"/>
    </row>
    <row r="41" spans="1:8" ht="17.25" customHeight="1" x14ac:dyDescent="0.2">
      <c r="A41" s="1551"/>
      <c r="B41" s="852" t="s">
        <v>102</v>
      </c>
      <c r="C41" s="738"/>
      <c r="D41" s="738"/>
      <c r="E41" s="738"/>
      <c r="F41" s="845"/>
      <c r="G41" s="1111"/>
      <c r="H41" s="224"/>
    </row>
    <row r="42" spans="1:8" ht="21.75" customHeight="1" x14ac:dyDescent="0.2">
      <c r="A42" s="1551"/>
      <c r="B42" s="852" t="s">
        <v>97</v>
      </c>
      <c r="C42" s="738">
        <v>565446</v>
      </c>
      <c r="D42" s="738">
        <v>565446</v>
      </c>
      <c r="E42" s="738">
        <v>555503</v>
      </c>
      <c r="F42" s="857">
        <f>E42/D42*100</f>
        <v>98.241565065452761</v>
      </c>
      <c r="G42" s="1111"/>
      <c r="H42" s="224"/>
    </row>
    <row r="43" spans="1:8" ht="17.25" customHeight="1" x14ac:dyDescent="0.2">
      <c r="A43" s="1551"/>
      <c r="B43" s="852" t="s">
        <v>627</v>
      </c>
      <c r="C43" s="738"/>
      <c r="D43" s="738"/>
      <c r="E43" s="738"/>
      <c r="F43" s="845"/>
      <c r="G43" s="1111"/>
      <c r="H43" s="224"/>
    </row>
    <row r="44" spans="1:8" x14ac:dyDescent="0.2">
      <c r="A44" s="1551"/>
      <c r="B44" s="852" t="s">
        <v>92</v>
      </c>
      <c r="C44" s="738"/>
      <c r="D44" s="738"/>
      <c r="E44" s="738"/>
      <c r="F44" s="845"/>
      <c r="G44" s="1111"/>
      <c r="H44" s="224"/>
    </row>
    <row r="45" spans="1:8" x14ac:dyDescent="0.2">
      <c r="A45" s="1551"/>
      <c r="B45" s="852" t="s">
        <v>93</v>
      </c>
      <c r="C45" s="732"/>
      <c r="D45" s="732"/>
      <c r="E45" s="732"/>
      <c r="F45" s="845"/>
      <c r="G45" s="1111"/>
      <c r="H45" s="224"/>
    </row>
    <row r="46" spans="1:8" x14ac:dyDescent="0.2">
      <c r="A46" s="1551"/>
      <c r="B46" s="852" t="s">
        <v>94</v>
      </c>
      <c r="C46" s="732"/>
      <c r="D46" s="732"/>
      <c r="E46" s="732"/>
      <c r="F46" s="845"/>
      <c r="G46" s="1111"/>
      <c r="H46" s="224"/>
    </row>
    <row r="47" spans="1:8" ht="13.5" thickBot="1" x14ac:dyDescent="0.25">
      <c r="A47" s="1551"/>
      <c r="B47" s="853" t="s">
        <v>103</v>
      </c>
      <c r="C47" s="734">
        <v>10128606</v>
      </c>
      <c r="D47" s="734">
        <v>62944621</v>
      </c>
      <c r="E47" s="734">
        <v>62944621</v>
      </c>
      <c r="F47" s="857">
        <v>100</v>
      </c>
      <c r="G47" s="1111"/>
      <c r="H47" s="224"/>
    </row>
    <row r="48" spans="1:8" ht="13.5" thickBot="1" x14ac:dyDescent="0.25">
      <c r="A48" s="1551"/>
      <c r="B48" s="848" t="s">
        <v>14</v>
      </c>
      <c r="C48" s="740">
        <f>SUM(C38:C47)</f>
        <v>10694052</v>
      </c>
      <c r="D48" s="740">
        <f>SUM(D38:D47)</f>
        <v>63510067</v>
      </c>
      <c r="E48" s="740">
        <f>SUM(E38:E47)</f>
        <v>63500124</v>
      </c>
      <c r="F48" s="849">
        <f>E48/D48*100</f>
        <v>99.984344214280227</v>
      </c>
      <c r="G48" s="1111"/>
      <c r="H48" s="224"/>
    </row>
    <row r="49" spans="1:8" ht="17.25" customHeight="1" x14ac:dyDescent="0.2">
      <c r="A49" s="1550" t="s">
        <v>361</v>
      </c>
      <c r="B49" s="850" t="s">
        <v>88</v>
      </c>
      <c r="C49" s="844"/>
      <c r="D49" s="844"/>
      <c r="E49" s="844"/>
      <c r="F49" s="856"/>
      <c r="G49" s="1111"/>
      <c r="H49" s="224"/>
    </row>
    <row r="50" spans="1:8" ht="25.5" x14ac:dyDescent="0.2">
      <c r="A50" s="1551"/>
      <c r="B50" s="852" t="s">
        <v>101</v>
      </c>
      <c r="C50" s="717"/>
      <c r="D50" s="717"/>
      <c r="E50" s="717"/>
      <c r="F50" s="857"/>
      <c r="G50" s="1111"/>
      <c r="H50" s="224"/>
    </row>
    <row r="51" spans="1:8" ht="17.25" customHeight="1" x14ac:dyDescent="0.2">
      <c r="A51" s="1551"/>
      <c r="B51" s="852" t="s">
        <v>90</v>
      </c>
      <c r="C51" s="717"/>
      <c r="D51" s="717"/>
      <c r="E51" s="717"/>
      <c r="F51" s="857"/>
      <c r="G51" s="1111"/>
      <c r="H51" s="224"/>
    </row>
    <row r="52" spans="1:8" ht="17.25" customHeight="1" x14ac:dyDescent="0.2">
      <c r="A52" s="1551"/>
      <c r="B52" s="852" t="s">
        <v>102</v>
      </c>
      <c r="C52" s="717"/>
      <c r="D52" s="717"/>
      <c r="E52" s="717"/>
      <c r="F52" s="857"/>
      <c r="G52" s="1111"/>
      <c r="H52" s="224"/>
    </row>
    <row r="53" spans="1:8" ht="28.5" customHeight="1" x14ac:dyDescent="0.2">
      <c r="A53" s="1551"/>
      <c r="B53" s="852" t="s">
        <v>97</v>
      </c>
      <c r="C53" s="717">
        <v>23756000</v>
      </c>
      <c r="D53" s="717">
        <v>34278016</v>
      </c>
      <c r="E53" s="717">
        <v>34142704</v>
      </c>
      <c r="F53" s="857">
        <f>E53/D53*100</f>
        <v>99.605251365773327</v>
      </c>
      <c r="G53" s="1111"/>
      <c r="H53" s="224"/>
    </row>
    <row r="54" spans="1:8" ht="17.25" customHeight="1" x14ac:dyDescent="0.2">
      <c r="A54" s="1551"/>
      <c r="B54" s="852" t="s">
        <v>627</v>
      </c>
      <c r="C54" s="717"/>
      <c r="D54" s="717"/>
      <c r="E54" s="717"/>
      <c r="F54" s="857"/>
      <c r="G54" s="1111"/>
      <c r="H54" s="224"/>
    </row>
    <row r="55" spans="1:8" x14ac:dyDescent="0.2">
      <c r="A55" s="1551"/>
      <c r="B55" s="852" t="s">
        <v>92</v>
      </c>
      <c r="C55" s="717"/>
      <c r="D55" s="717"/>
      <c r="E55" s="717"/>
      <c r="F55" s="857"/>
      <c r="G55" s="1111"/>
      <c r="H55" s="224"/>
    </row>
    <row r="56" spans="1:8" x14ac:dyDescent="0.2">
      <c r="A56" s="1551"/>
      <c r="B56" s="852" t="s">
        <v>93</v>
      </c>
      <c r="C56" s="732"/>
      <c r="D56" s="732"/>
      <c r="E56" s="732"/>
      <c r="F56" s="857"/>
      <c r="G56" s="1111"/>
      <c r="H56" s="224"/>
    </row>
    <row r="57" spans="1:8" x14ac:dyDescent="0.2">
      <c r="A57" s="1551"/>
      <c r="B57" s="852" t="s">
        <v>94</v>
      </c>
      <c r="C57" s="732"/>
      <c r="D57" s="732"/>
      <c r="E57" s="732"/>
      <c r="F57" s="857"/>
      <c r="G57" s="1111"/>
      <c r="H57" s="224"/>
    </row>
    <row r="58" spans="1:8" ht="13.5" thickBot="1" x14ac:dyDescent="0.25">
      <c r="A58" s="1551"/>
      <c r="B58" s="853" t="s">
        <v>103</v>
      </c>
      <c r="C58" s="734">
        <v>148056242</v>
      </c>
      <c r="D58" s="734">
        <v>161152994</v>
      </c>
      <c r="E58" s="734">
        <v>146119449</v>
      </c>
      <c r="F58" s="857">
        <f>E58/D58*100</f>
        <v>90.671259263107444</v>
      </c>
      <c r="G58" s="1111"/>
      <c r="H58" s="224"/>
    </row>
    <row r="59" spans="1:8" ht="13.5" thickBot="1" x14ac:dyDescent="0.25">
      <c r="A59" s="1551"/>
      <c r="B59" s="848" t="s">
        <v>14</v>
      </c>
      <c r="C59" s="740">
        <f>SUM(C49:C58)</f>
        <v>171812242</v>
      </c>
      <c r="D59" s="740">
        <f>SUM(D49:D58)</f>
        <v>195431010</v>
      </c>
      <c r="E59" s="740">
        <f>SUM(E49:E58)</f>
        <v>180262153</v>
      </c>
      <c r="F59" s="849">
        <f>E59/D59*100</f>
        <v>92.238254819437302</v>
      </c>
      <c r="G59" s="1111"/>
      <c r="H59" s="224"/>
    </row>
    <row r="60" spans="1:8" ht="17.25" customHeight="1" x14ac:dyDescent="0.2">
      <c r="A60" s="1550" t="s">
        <v>105</v>
      </c>
      <c r="B60" s="850" t="s">
        <v>88</v>
      </c>
      <c r="C60" s="844"/>
      <c r="D60" s="844"/>
      <c r="E60" s="844"/>
      <c r="F60" s="856"/>
      <c r="G60" s="1111"/>
      <c r="H60" s="224"/>
    </row>
    <row r="61" spans="1:8" ht="25.5" x14ac:dyDescent="0.2">
      <c r="A61" s="1551"/>
      <c r="B61" s="852" t="s">
        <v>101</v>
      </c>
      <c r="C61" s="717"/>
      <c r="D61" s="717"/>
      <c r="E61" s="717"/>
      <c r="F61" s="857"/>
      <c r="G61" s="1111"/>
      <c r="H61" s="224"/>
    </row>
    <row r="62" spans="1:8" ht="17.25" customHeight="1" x14ac:dyDescent="0.2">
      <c r="A62" s="1551"/>
      <c r="B62" s="852" t="s">
        <v>90</v>
      </c>
      <c r="C62" s="717"/>
      <c r="D62" s="717"/>
      <c r="E62" s="717"/>
      <c r="F62" s="857"/>
      <c r="G62" s="1111"/>
      <c r="H62" s="224"/>
    </row>
    <row r="63" spans="1:8" ht="17.25" customHeight="1" x14ac:dyDescent="0.2">
      <c r="A63" s="1551"/>
      <c r="B63" s="852" t="s">
        <v>102</v>
      </c>
      <c r="C63" s="717"/>
      <c r="D63" s="717"/>
      <c r="E63" s="717"/>
      <c r="F63" s="857"/>
      <c r="G63" s="1111"/>
      <c r="H63" s="224"/>
    </row>
    <row r="64" spans="1:8" ht="29.25" customHeight="1" x14ac:dyDescent="0.2">
      <c r="A64" s="1551"/>
      <c r="B64" s="852" t="s">
        <v>97</v>
      </c>
      <c r="C64" s="717">
        <v>10622443</v>
      </c>
      <c r="D64" s="717">
        <v>25825425</v>
      </c>
      <c r="E64" s="717">
        <v>25687725</v>
      </c>
      <c r="F64" s="857">
        <f>E64/D64*100</f>
        <v>99.466804515317747</v>
      </c>
      <c r="G64" s="1111"/>
      <c r="H64" s="224"/>
    </row>
    <row r="65" spans="1:8" ht="17.25" customHeight="1" x14ac:dyDescent="0.2">
      <c r="A65" s="1551"/>
      <c r="B65" s="852" t="s">
        <v>627</v>
      </c>
      <c r="C65" s="717"/>
      <c r="D65" s="717"/>
      <c r="E65" s="717"/>
      <c r="F65" s="857"/>
      <c r="G65" s="1111"/>
      <c r="H65" s="224"/>
    </row>
    <row r="66" spans="1:8" x14ac:dyDescent="0.2">
      <c r="A66" s="1551"/>
      <c r="B66" s="852" t="s">
        <v>92</v>
      </c>
      <c r="C66" s="717"/>
      <c r="D66" s="717"/>
      <c r="E66" s="717"/>
      <c r="F66" s="857"/>
      <c r="G66" s="1111"/>
      <c r="H66" s="224"/>
    </row>
    <row r="67" spans="1:8" x14ac:dyDescent="0.2">
      <c r="A67" s="1551"/>
      <c r="B67" s="852" t="s">
        <v>93</v>
      </c>
      <c r="C67" s="732"/>
      <c r="D67" s="732"/>
      <c r="E67" s="732"/>
      <c r="F67" s="857"/>
      <c r="G67" s="1111"/>
      <c r="H67" s="224"/>
    </row>
    <row r="68" spans="1:8" x14ac:dyDescent="0.2">
      <c r="A68" s="1551"/>
      <c r="B68" s="852" t="s">
        <v>94</v>
      </c>
      <c r="C68" s="732"/>
      <c r="D68" s="732"/>
      <c r="E68" s="732"/>
      <c r="F68" s="857"/>
      <c r="G68" s="1111"/>
      <c r="H68" s="224"/>
    </row>
    <row r="69" spans="1:8" ht="13.5" thickBot="1" x14ac:dyDescent="0.25">
      <c r="A69" s="1551"/>
      <c r="B69" s="853" t="s">
        <v>103</v>
      </c>
      <c r="C69" s="734"/>
      <c r="D69" s="734"/>
      <c r="E69" s="734"/>
      <c r="F69" s="858"/>
      <c r="G69" s="1111"/>
      <c r="H69" s="224"/>
    </row>
    <row r="70" spans="1:8" ht="13.5" thickBot="1" x14ac:dyDescent="0.25">
      <c r="A70" s="1551"/>
      <c r="B70" s="848" t="s">
        <v>14</v>
      </c>
      <c r="C70" s="740">
        <f>SUM(C60:C69)</f>
        <v>10622443</v>
      </c>
      <c r="D70" s="1152">
        <f>SUM(D60:D69)</f>
        <v>25825425</v>
      </c>
      <c r="E70" s="740">
        <f>SUM(E60:E69)</f>
        <v>25687725</v>
      </c>
      <c r="F70" s="849">
        <f>E70/D70*100</f>
        <v>99.466804515317747</v>
      </c>
      <c r="G70" s="1111"/>
      <c r="H70" s="224"/>
    </row>
    <row r="71" spans="1:8" ht="17.25" customHeight="1" x14ac:dyDescent="0.2">
      <c r="A71" s="1550" t="s">
        <v>474</v>
      </c>
      <c r="B71" s="850" t="s">
        <v>88</v>
      </c>
      <c r="C71" s="844"/>
      <c r="D71" s="844">
        <v>68873965</v>
      </c>
      <c r="E71" s="844">
        <v>74234620</v>
      </c>
      <c r="F71" s="857">
        <f t="shared" ref="F71:F72" si="2">E71/D71*100</f>
        <v>107.78328211538279</v>
      </c>
      <c r="G71" s="1111"/>
      <c r="H71" s="224"/>
    </row>
    <row r="72" spans="1:8" ht="25.5" x14ac:dyDescent="0.2">
      <c r="A72" s="1551"/>
      <c r="B72" s="852" t="s">
        <v>101</v>
      </c>
      <c r="C72" s="717"/>
      <c r="D72" s="717">
        <v>4953895</v>
      </c>
      <c r="E72" s="717">
        <v>6935289</v>
      </c>
      <c r="F72" s="857">
        <f t="shared" si="2"/>
        <v>139.99668947363639</v>
      </c>
      <c r="G72" s="1111"/>
      <c r="H72" s="224"/>
    </row>
    <row r="73" spans="1:8" ht="17.25" customHeight="1" x14ac:dyDescent="0.2">
      <c r="A73" s="1551"/>
      <c r="B73" s="852" t="s">
        <v>90</v>
      </c>
      <c r="C73" s="717"/>
      <c r="D73" s="717"/>
      <c r="E73" s="717"/>
      <c r="F73" s="857"/>
      <c r="G73" s="1111"/>
      <c r="H73" s="224"/>
    </row>
    <row r="74" spans="1:8" ht="17.25" customHeight="1" x14ac:dyDescent="0.2">
      <c r="A74" s="1551"/>
      <c r="B74" s="852" t="s">
        <v>102</v>
      </c>
      <c r="C74" s="717"/>
      <c r="D74" s="717"/>
      <c r="E74" s="717"/>
      <c r="F74" s="857"/>
      <c r="G74" s="1111"/>
      <c r="H74" s="224"/>
    </row>
    <row r="75" spans="1:8" ht="22.5" customHeight="1" x14ac:dyDescent="0.2">
      <c r="A75" s="1551"/>
      <c r="B75" s="852" t="s">
        <v>97</v>
      </c>
      <c r="C75" s="717"/>
      <c r="D75" s="717"/>
      <c r="E75" s="717"/>
      <c r="F75" s="857"/>
      <c r="G75" s="1111"/>
      <c r="H75" s="224"/>
    </row>
    <row r="76" spans="1:8" ht="17.25" customHeight="1" x14ac:dyDescent="0.2">
      <c r="A76" s="1551"/>
      <c r="B76" s="852" t="s">
        <v>627</v>
      </c>
      <c r="C76" s="717"/>
      <c r="D76" s="717"/>
      <c r="E76" s="717"/>
      <c r="F76" s="857"/>
      <c r="G76" s="1111"/>
      <c r="H76" s="224"/>
    </row>
    <row r="77" spans="1:8" x14ac:dyDescent="0.2">
      <c r="A77" s="1551"/>
      <c r="B77" s="852" t="s">
        <v>92</v>
      </c>
      <c r="C77" s="717"/>
      <c r="D77" s="717"/>
      <c r="E77" s="717"/>
      <c r="F77" s="857"/>
      <c r="G77" s="1111"/>
      <c r="H77" s="224"/>
    </row>
    <row r="78" spans="1:8" x14ac:dyDescent="0.2">
      <c r="A78" s="1551"/>
      <c r="B78" s="852" t="s">
        <v>93</v>
      </c>
      <c r="C78" s="732"/>
      <c r="D78" s="735"/>
      <c r="E78" s="735"/>
      <c r="F78" s="857"/>
      <c r="G78" s="1111"/>
      <c r="H78" s="224"/>
    </row>
    <row r="79" spans="1:8" x14ac:dyDescent="0.2">
      <c r="A79" s="1551"/>
      <c r="B79" s="852" t="s">
        <v>94</v>
      </c>
      <c r="C79" s="732"/>
      <c r="D79" s="738"/>
      <c r="E79" s="732"/>
      <c r="F79" s="857"/>
      <c r="G79" s="1111"/>
      <c r="H79" s="224"/>
    </row>
    <row r="80" spans="1:8" ht="13.5" thickBot="1" x14ac:dyDescent="0.25">
      <c r="A80" s="1551"/>
      <c r="B80" s="853" t="s">
        <v>103</v>
      </c>
      <c r="C80" s="734"/>
      <c r="D80" s="739"/>
      <c r="E80" s="734"/>
      <c r="F80" s="857"/>
      <c r="G80" s="1111"/>
      <c r="H80" s="224"/>
    </row>
    <row r="81" spans="1:11" ht="13.5" thickBot="1" x14ac:dyDescent="0.25">
      <c r="A81" s="1551"/>
      <c r="B81" s="848" t="s">
        <v>14</v>
      </c>
      <c r="C81" s="740">
        <f>SUM(C71:C80)</f>
        <v>0</v>
      </c>
      <c r="D81" s="859">
        <f>SUM(D71:D80)</f>
        <v>73827860</v>
      </c>
      <c r="E81" s="740">
        <f>SUM(E71:E80)</f>
        <v>81169909</v>
      </c>
      <c r="F81" s="849">
        <f>E81/D81*100</f>
        <v>109.94482164321167</v>
      </c>
      <c r="G81" s="1111"/>
      <c r="H81" s="224"/>
    </row>
    <row r="82" spans="1:11" ht="13.5" thickBot="1" x14ac:dyDescent="0.25">
      <c r="A82" s="860" t="s">
        <v>73</v>
      </c>
      <c r="B82" s="861" t="s">
        <v>24</v>
      </c>
      <c r="C82" s="862" t="s">
        <v>155</v>
      </c>
      <c r="D82" s="862" t="s">
        <v>148</v>
      </c>
      <c r="E82" s="862" t="s">
        <v>149</v>
      </c>
      <c r="F82" s="863" t="s">
        <v>150</v>
      </c>
      <c r="G82" s="1111"/>
      <c r="H82" s="224"/>
    </row>
    <row r="83" spans="1:11" ht="12.75" customHeight="1" x14ac:dyDescent="0.2">
      <c r="A83" s="1553" t="s">
        <v>626</v>
      </c>
      <c r="B83" s="850" t="s">
        <v>88</v>
      </c>
      <c r="C83" s="844">
        <v>54321655</v>
      </c>
      <c r="D83" s="1157">
        <v>325598701</v>
      </c>
      <c r="E83" s="865">
        <v>253849717</v>
      </c>
      <c r="F83" s="857">
        <f>E83/D83*100</f>
        <v>77.963983339110428</v>
      </c>
      <c r="G83" s="1111"/>
      <c r="H83" s="224"/>
    </row>
    <row r="84" spans="1:11" ht="25.5" x14ac:dyDescent="0.2">
      <c r="A84" s="1554"/>
      <c r="B84" s="852" t="s">
        <v>101</v>
      </c>
      <c r="C84" s="717">
        <v>5308661</v>
      </c>
      <c r="D84" s="738">
        <v>33039851</v>
      </c>
      <c r="E84" s="736">
        <v>26413859</v>
      </c>
      <c r="F84" s="857">
        <f>E84/D84*100</f>
        <v>79.945454354500569</v>
      </c>
      <c r="G84" s="1111"/>
      <c r="H84" s="224"/>
    </row>
    <row r="85" spans="1:11" x14ac:dyDescent="0.2">
      <c r="A85" s="1554"/>
      <c r="B85" s="852" t="s">
        <v>90</v>
      </c>
      <c r="C85" s="717">
        <v>22363189</v>
      </c>
      <c r="D85" s="738">
        <v>58431083</v>
      </c>
      <c r="E85" s="736">
        <v>57318505</v>
      </c>
      <c r="F85" s="857">
        <f>E85/D85*100</f>
        <v>98.095914121598611</v>
      </c>
      <c r="G85" s="1111"/>
      <c r="H85" s="224"/>
    </row>
    <row r="86" spans="1:11" x14ac:dyDescent="0.2">
      <c r="A86" s="1554"/>
      <c r="B86" s="852" t="s">
        <v>102</v>
      </c>
      <c r="C86" s="717"/>
      <c r="D86" s="738"/>
      <c r="E86" s="736"/>
      <c r="F86" s="857"/>
      <c r="G86" s="1111"/>
      <c r="H86" s="224"/>
    </row>
    <row r="87" spans="1:11" ht="25.5" x14ac:dyDescent="0.2">
      <c r="A87" s="1554"/>
      <c r="B87" s="852" t="s">
        <v>97</v>
      </c>
      <c r="C87" s="717">
        <v>7634776</v>
      </c>
      <c r="D87" s="738"/>
      <c r="E87" s="736"/>
      <c r="F87" s="857"/>
      <c r="G87" s="1111"/>
      <c r="H87" s="224"/>
    </row>
    <row r="88" spans="1:11" x14ac:dyDescent="0.2">
      <c r="A88" s="1554"/>
      <c r="B88" s="852" t="s">
        <v>627</v>
      </c>
      <c r="C88" s="717"/>
      <c r="D88" s="738"/>
      <c r="E88" s="736"/>
      <c r="F88" s="857"/>
      <c r="G88" s="1111"/>
      <c r="H88" s="224"/>
    </row>
    <row r="89" spans="1:11" x14ac:dyDescent="0.2">
      <c r="A89" s="1554"/>
      <c r="B89" s="852" t="s">
        <v>92</v>
      </c>
      <c r="C89" s="717">
        <v>8403633</v>
      </c>
      <c r="D89" s="738">
        <v>49397492</v>
      </c>
      <c r="E89" s="736">
        <v>41763091</v>
      </c>
      <c r="F89" s="857">
        <f>E89/D89*100</f>
        <v>84.544962323188386</v>
      </c>
      <c r="G89" s="1111"/>
      <c r="H89" s="224"/>
    </row>
    <row r="90" spans="1:11" x14ac:dyDescent="0.2">
      <c r="A90" s="1554"/>
      <c r="B90" s="852" t="s">
        <v>93</v>
      </c>
      <c r="C90" s="732"/>
      <c r="D90" s="738">
        <v>6532000</v>
      </c>
      <c r="E90" s="736">
        <v>8685002</v>
      </c>
      <c r="F90" s="857">
        <f>E90/D90*100</f>
        <v>132.96083894672381</v>
      </c>
      <c r="G90" s="1111"/>
      <c r="H90" s="224"/>
    </row>
    <row r="91" spans="1:11" x14ac:dyDescent="0.2">
      <c r="A91" s="1554"/>
      <c r="B91" s="852" t="s">
        <v>94</v>
      </c>
      <c r="C91" s="732"/>
      <c r="D91" s="738"/>
      <c r="E91" s="736"/>
      <c r="F91" s="857"/>
      <c r="G91" s="1111"/>
      <c r="H91" s="224"/>
    </row>
    <row r="92" spans="1:11" ht="13.5" thickBot="1" x14ac:dyDescent="0.25">
      <c r="A92" s="1554"/>
      <c r="B92" s="853" t="s">
        <v>103</v>
      </c>
      <c r="C92" s="734"/>
      <c r="D92" s="739"/>
      <c r="E92" s="737"/>
      <c r="F92" s="858"/>
      <c r="G92" s="1111"/>
      <c r="H92" s="224"/>
    </row>
    <row r="93" spans="1:11" ht="13.5" thickBot="1" x14ac:dyDescent="0.25">
      <c r="A93" s="1554"/>
      <c r="B93" s="848" t="s">
        <v>14</v>
      </c>
      <c r="C93" s="740">
        <f>SUM(C83:C92)</f>
        <v>98031914</v>
      </c>
      <c r="D93" s="859">
        <f>SUM(D83:D92)</f>
        <v>472999127</v>
      </c>
      <c r="E93" s="866">
        <f>SUM(E83:E92)</f>
        <v>388030174</v>
      </c>
      <c r="F93" s="849">
        <f>E93/D93*100</f>
        <v>82.036129001142953</v>
      </c>
      <c r="G93" s="1111"/>
      <c r="H93" s="224"/>
      <c r="I93" s="31"/>
      <c r="K93" s="2"/>
    </row>
    <row r="94" spans="1:11" x14ac:dyDescent="0.2">
      <c r="A94" s="1553" t="s">
        <v>536</v>
      </c>
      <c r="B94" s="850" t="s">
        <v>88</v>
      </c>
      <c r="C94" s="844"/>
      <c r="D94" s="864"/>
      <c r="E94" s="865"/>
      <c r="F94" s="857"/>
      <c r="G94" s="1111"/>
      <c r="H94" s="224"/>
      <c r="I94" s="31"/>
      <c r="K94" s="2"/>
    </row>
    <row r="95" spans="1:11" ht="25.5" x14ac:dyDescent="0.2">
      <c r="A95" s="1554"/>
      <c r="B95" s="852" t="s">
        <v>101</v>
      </c>
      <c r="C95" s="717"/>
      <c r="D95" s="738"/>
      <c r="E95" s="736"/>
      <c r="F95" s="857"/>
      <c r="G95" s="1111"/>
      <c r="H95" s="224"/>
      <c r="I95" s="31"/>
      <c r="K95" s="2"/>
    </row>
    <row r="96" spans="1:11" x14ac:dyDescent="0.2">
      <c r="A96" s="1554"/>
      <c r="B96" s="852" t="s">
        <v>90</v>
      </c>
      <c r="C96" s="717">
        <v>5989000</v>
      </c>
      <c r="D96" s="738">
        <v>10000075</v>
      </c>
      <c r="E96" s="736">
        <v>5644141</v>
      </c>
      <c r="F96" s="857">
        <f>E96/D96*100</f>
        <v>56.440986692599807</v>
      </c>
      <c r="G96" s="1111"/>
      <c r="H96" s="224"/>
      <c r="I96" s="31"/>
      <c r="K96" s="2"/>
    </row>
    <row r="97" spans="1:11" x14ac:dyDescent="0.2">
      <c r="A97" s="1554"/>
      <c r="B97" s="852" t="s">
        <v>102</v>
      </c>
      <c r="C97" s="717"/>
      <c r="D97" s="738"/>
      <c r="E97" s="736"/>
      <c r="F97" s="857"/>
      <c r="G97" s="1111"/>
      <c r="H97" s="224"/>
      <c r="I97" s="31"/>
      <c r="K97" s="2"/>
    </row>
    <row r="98" spans="1:11" ht="25.5" x14ac:dyDescent="0.2">
      <c r="A98" s="1554"/>
      <c r="B98" s="852" t="s">
        <v>97</v>
      </c>
      <c r="C98" s="717"/>
      <c r="D98" s="738"/>
      <c r="E98" s="736"/>
      <c r="F98" s="857"/>
      <c r="G98" s="1111"/>
      <c r="H98" s="224"/>
      <c r="I98" s="31"/>
      <c r="K98" s="2"/>
    </row>
    <row r="99" spans="1:11" x14ac:dyDescent="0.2">
      <c r="A99" s="1554"/>
      <c r="B99" s="852" t="s">
        <v>627</v>
      </c>
      <c r="C99" s="717"/>
      <c r="D99" s="738"/>
      <c r="E99" s="736"/>
      <c r="F99" s="857"/>
      <c r="G99" s="1111"/>
      <c r="H99" s="224"/>
      <c r="I99" s="31"/>
      <c r="K99" s="2"/>
    </row>
    <row r="100" spans="1:11" x14ac:dyDescent="0.2">
      <c r="A100" s="1554"/>
      <c r="B100" s="852" t="s">
        <v>92</v>
      </c>
      <c r="C100" s="717">
        <v>700000</v>
      </c>
      <c r="D100" s="738">
        <v>700000</v>
      </c>
      <c r="E100" s="736">
        <v>483790</v>
      </c>
      <c r="F100" s="857">
        <f>E100/D100*100</f>
        <v>69.112857142857138</v>
      </c>
      <c r="G100" s="1111"/>
      <c r="H100" s="224"/>
      <c r="I100" s="31"/>
      <c r="K100" s="2"/>
    </row>
    <row r="101" spans="1:11" x14ac:dyDescent="0.2">
      <c r="A101" s="1554"/>
      <c r="B101" s="852" t="s">
        <v>93</v>
      </c>
      <c r="C101" s="732"/>
      <c r="D101" s="738"/>
      <c r="E101" s="736"/>
      <c r="F101" s="857"/>
      <c r="G101" s="1111"/>
      <c r="H101" s="224"/>
      <c r="I101" s="31"/>
      <c r="K101" s="2"/>
    </row>
    <row r="102" spans="1:11" x14ac:dyDescent="0.2">
      <c r="A102" s="1554"/>
      <c r="B102" s="852" t="s">
        <v>94</v>
      </c>
      <c r="C102" s="732"/>
      <c r="D102" s="738"/>
      <c r="E102" s="736"/>
      <c r="F102" s="857"/>
      <c r="G102" s="1111"/>
      <c r="H102" s="224"/>
      <c r="I102" s="31"/>
      <c r="K102" s="2"/>
    </row>
    <row r="103" spans="1:11" ht="13.5" thickBot="1" x14ac:dyDescent="0.25">
      <c r="A103" s="1554"/>
      <c r="B103" s="853" t="s">
        <v>103</v>
      </c>
      <c r="C103" s="734"/>
      <c r="D103" s="739"/>
      <c r="E103" s="737"/>
      <c r="F103" s="858"/>
      <c r="G103" s="1111"/>
      <c r="H103" s="224"/>
      <c r="I103" s="31"/>
      <c r="K103" s="2"/>
    </row>
    <row r="104" spans="1:11" ht="13.5" thickBot="1" x14ac:dyDescent="0.25">
      <c r="A104" s="1554"/>
      <c r="B104" s="848" t="s">
        <v>14</v>
      </c>
      <c r="C104" s="740">
        <f>SUM(C94:C103)</f>
        <v>6689000</v>
      </c>
      <c r="D104" s="859">
        <f>SUM(D94:D103)</f>
        <v>10700075</v>
      </c>
      <c r="E104" s="866">
        <f>SUM(E94:E103)</f>
        <v>6127931</v>
      </c>
      <c r="F104" s="849">
        <f>E104/D104*100</f>
        <v>57.269981752464346</v>
      </c>
      <c r="G104" s="1111"/>
      <c r="H104" s="224"/>
      <c r="I104" s="31"/>
      <c r="K104" s="2"/>
    </row>
    <row r="105" spans="1:11" x14ac:dyDescent="0.2">
      <c r="A105" s="1550" t="s">
        <v>475</v>
      </c>
      <c r="B105" s="850" t="s">
        <v>88</v>
      </c>
      <c r="C105" s="844"/>
      <c r="D105" s="844"/>
      <c r="E105" s="844"/>
      <c r="F105" s="856"/>
      <c r="G105" s="1247"/>
      <c r="H105" s="224"/>
    </row>
    <row r="106" spans="1:11" ht="25.5" x14ac:dyDescent="0.2">
      <c r="A106" s="1551"/>
      <c r="B106" s="852" t="s">
        <v>101</v>
      </c>
      <c r="C106" s="717"/>
      <c r="D106" s="717"/>
      <c r="E106" s="717"/>
      <c r="F106" s="857"/>
      <c r="G106" s="1248"/>
      <c r="H106" s="224"/>
    </row>
    <row r="107" spans="1:11" x14ac:dyDescent="0.2">
      <c r="A107" s="1551"/>
      <c r="B107" s="852" t="s">
        <v>90</v>
      </c>
      <c r="C107" s="717"/>
      <c r="D107" s="717">
        <v>44167529</v>
      </c>
      <c r="E107" s="717">
        <v>22041250</v>
      </c>
      <c r="F107" s="857">
        <f t="shared" ref="F107" si="3">E107/D107*100</f>
        <v>49.903742634096645</v>
      </c>
      <c r="G107" s="1249"/>
      <c r="H107" s="224"/>
    </row>
    <row r="108" spans="1:11" x14ac:dyDescent="0.2">
      <c r="A108" s="1551"/>
      <c r="B108" s="852" t="s">
        <v>102</v>
      </c>
      <c r="C108" s="717"/>
      <c r="D108" s="717"/>
      <c r="E108" s="717"/>
      <c r="F108" s="857"/>
      <c r="G108" s="1249"/>
      <c r="H108" s="224"/>
    </row>
    <row r="109" spans="1:11" ht="25.5" x14ac:dyDescent="0.2">
      <c r="A109" s="1551"/>
      <c r="B109" s="852" t="s">
        <v>97</v>
      </c>
      <c r="C109" s="717"/>
      <c r="D109" s="717"/>
      <c r="E109" s="717"/>
      <c r="F109" s="857"/>
      <c r="G109" s="1249"/>
      <c r="H109" s="224"/>
    </row>
    <row r="110" spans="1:11" x14ac:dyDescent="0.2">
      <c r="A110" s="1551"/>
      <c r="B110" s="852" t="s">
        <v>627</v>
      </c>
      <c r="C110" s="717">
        <v>550599</v>
      </c>
      <c r="D110" s="717">
        <v>550599</v>
      </c>
      <c r="E110" s="717"/>
      <c r="F110" s="857"/>
      <c r="G110" s="1249"/>
      <c r="H110" s="224"/>
    </row>
    <row r="111" spans="1:11" x14ac:dyDescent="0.2">
      <c r="A111" s="1551"/>
      <c r="B111" s="852" t="s">
        <v>92</v>
      </c>
      <c r="C111" s="717">
        <v>898498061</v>
      </c>
      <c r="D111" s="717">
        <v>854330532</v>
      </c>
      <c r="E111" s="717">
        <v>181683592</v>
      </c>
      <c r="F111" s="857">
        <f>E111/D111*100</f>
        <v>21.266194428832609</v>
      </c>
      <c r="G111" s="1249"/>
      <c r="H111" s="224"/>
    </row>
    <row r="112" spans="1:11" x14ac:dyDescent="0.2">
      <c r="A112" s="1551"/>
      <c r="B112" s="852" t="s">
        <v>93</v>
      </c>
      <c r="C112" s="732">
        <v>11402123</v>
      </c>
      <c r="D112" s="732">
        <v>9248958</v>
      </c>
      <c r="E112" s="732">
        <v>1458940</v>
      </c>
      <c r="F112" s="857">
        <f>E112/D112*100</f>
        <v>15.774101255514406</v>
      </c>
      <c r="G112" s="1249"/>
      <c r="H112" s="224"/>
    </row>
    <row r="113" spans="1:8" x14ac:dyDescent="0.2">
      <c r="A113" s="1551"/>
      <c r="B113" s="852" t="s">
        <v>94</v>
      </c>
      <c r="C113" s="732"/>
      <c r="D113" s="732"/>
      <c r="E113" s="732"/>
      <c r="F113" s="857"/>
      <c r="G113" s="1249"/>
      <c r="H113" s="224"/>
    </row>
    <row r="114" spans="1:8" ht="13.5" thickBot="1" x14ac:dyDescent="0.25">
      <c r="A114" s="1551"/>
      <c r="B114" s="853" t="s">
        <v>103</v>
      </c>
      <c r="C114" s="734"/>
      <c r="D114" s="734"/>
      <c r="E114" s="734"/>
      <c r="F114" s="858"/>
      <c r="G114" s="1249"/>
      <c r="H114" s="224"/>
    </row>
    <row r="115" spans="1:8" ht="13.5" thickBot="1" x14ac:dyDescent="0.25">
      <c r="A115" s="1551"/>
      <c r="B115" s="848" t="s">
        <v>14</v>
      </c>
      <c r="C115" s="1147">
        <f>SUM(C105:C114)</f>
        <v>910450783</v>
      </c>
      <c r="D115" s="1147">
        <f>SUM(D105:D114)</f>
        <v>908297618</v>
      </c>
      <c r="E115" s="1147">
        <f>SUM(E105:E114)</f>
        <v>205183782</v>
      </c>
      <c r="F115" s="985">
        <f>E115/D115*100</f>
        <v>22.589928447880176</v>
      </c>
      <c r="G115" s="1249"/>
      <c r="H115" s="224"/>
    </row>
    <row r="116" spans="1:8" x14ac:dyDescent="0.2">
      <c r="A116" s="1550" t="s">
        <v>576</v>
      </c>
      <c r="B116" s="1148" t="s">
        <v>88</v>
      </c>
      <c r="C116" s="1232"/>
      <c r="D116" s="1233"/>
      <c r="E116" s="1233"/>
      <c r="F116" s="856"/>
      <c r="G116" s="1249"/>
      <c r="H116" s="224"/>
    </row>
    <row r="117" spans="1:8" ht="25.5" x14ac:dyDescent="0.2">
      <c r="A117" s="1551"/>
      <c r="B117" s="1149" t="s">
        <v>101</v>
      </c>
      <c r="C117" s="1234"/>
      <c r="D117" s="732"/>
      <c r="E117" s="732"/>
      <c r="F117" s="857"/>
      <c r="G117" s="1249"/>
      <c r="H117" s="224"/>
    </row>
    <row r="118" spans="1:8" x14ac:dyDescent="0.2">
      <c r="A118" s="1551"/>
      <c r="B118" s="1149" t="s">
        <v>90</v>
      </c>
      <c r="C118" s="1234"/>
      <c r="D118" s="732">
        <v>196849</v>
      </c>
      <c r="E118" s="732">
        <v>952500</v>
      </c>
      <c r="F118" s="857">
        <f>E118/D118%</f>
        <v>483.8734258238548</v>
      </c>
      <c r="G118" s="1249"/>
      <c r="H118" s="224"/>
    </row>
    <row r="119" spans="1:8" x14ac:dyDescent="0.2">
      <c r="A119" s="1551"/>
      <c r="B119" s="1149" t="s">
        <v>102</v>
      </c>
      <c r="C119" s="1234"/>
      <c r="D119" s="732"/>
      <c r="E119" s="732"/>
      <c r="F119" s="857"/>
      <c r="G119" s="1249"/>
      <c r="H119" s="224"/>
    </row>
    <row r="120" spans="1:8" ht="25.5" x14ac:dyDescent="0.2">
      <c r="A120" s="1551"/>
      <c r="B120" s="1149" t="s">
        <v>97</v>
      </c>
      <c r="C120" s="1234"/>
      <c r="D120" s="732"/>
      <c r="E120" s="732"/>
      <c r="F120" s="857"/>
      <c r="G120" s="1249"/>
      <c r="H120" s="224"/>
    </row>
    <row r="121" spans="1:8" x14ac:dyDescent="0.2">
      <c r="A121" s="1551"/>
      <c r="B121" s="1149" t="s">
        <v>627</v>
      </c>
      <c r="C121" s="1234"/>
      <c r="D121" s="732"/>
      <c r="E121" s="732"/>
      <c r="F121" s="857"/>
      <c r="G121" s="1249"/>
      <c r="H121" s="224"/>
    </row>
    <row r="122" spans="1:8" x14ac:dyDescent="0.2">
      <c r="A122" s="1551"/>
      <c r="B122" s="1149" t="s">
        <v>92</v>
      </c>
      <c r="C122" s="1234">
        <v>136676212</v>
      </c>
      <c r="D122" s="732">
        <v>136676212</v>
      </c>
      <c r="E122" s="732">
        <v>203200</v>
      </c>
      <c r="F122" s="857">
        <f t="shared" ref="F122:F126" si="4">E122/D122%</f>
        <v>0.14867254295868251</v>
      </c>
      <c r="G122" s="1249"/>
      <c r="H122" s="224"/>
    </row>
    <row r="123" spans="1:8" x14ac:dyDescent="0.2">
      <c r="A123" s="1551"/>
      <c r="B123" s="1149" t="s">
        <v>93</v>
      </c>
      <c r="C123" s="1234"/>
      <c r="D123" s="732">
        <v>17450208</v>
      </c>
      <c r="E123" s="732">
        <v>17450208</v>
      </c>
      <c r="F123" s="857">
        <f t="shared" si="4"/>
        <v>100.00000000000001</v>
      </c>
      <c r="G123" s="1249"/>
      <c r="H123" s="224"/>
    </row>
    <row r="124" spans="1:8" x14ac:dyDescent="0.2">
      <c r="A124" s="1551"/>
      <c r="B124" s="1149" t="s">
        <v>94</v>
      </c>
      <c r="C124" s="1234"/>
      <c r="D124" s="732"/>
      <c r="E124" s="732"/>
      <c r="F124" s="857"/>
      <c r="G124" s="1249"/>
      <c r="H124" s="224"/>
    </row>
    <row r="125" spans="1:8" ht="13.5" thickBot="1" x14ac:dyDescent="0.25">
      <c r="A125" s="1551"/>
      <c r="B125" s="1150" t="s">
        <v>103</v>
      </c>
      <c r="C125" s="1235"/>
      <c r="D125" s="734"/>
      <c r="E125" s="734"/>
      <c r="F125" s="858"/>
      <c r="G125" s="1249"/>
      <c r="H125" s="224"/>
    </row>
    <row r="126" spans="1:8" ht="13.5" thickBot="1" x14ac:dyDescent="0.25">
      <c r="A126" s="1551"/>
      <c r="B126" s="993" t="s">
        <v>14</v>
      </c>
      <c r="C126" s="1156">
        <f>SUM(C116:C125)</f>
        <v>136676212</v>
      </c>
      <c r="D126" s="1156">
        <f t="shared" ref="D126:E126" si="5">SUM(D116:D125)</f>
        <v>154323269</v>
      </c>
      <c r="E126" s="1236">
        <f t="shared" si="5"/>
        <v>18605908</v>
      </c>
      <c r="F126" s="992">
        <f t="shared" si="4"/>
        <v>12.056450152050628</v>
      </c>
      <c r="G126" s="1249"/>
      <c r="H126" s="224"/>
    </row>
    <row r="127" spans="1:8" s="25" customFormat="1" x14ac:dyDescent="0.2">
      <c r="A127" s="1550" t="s">
        <v>483</v>
      </c>
      <c r="B127" s="850" t="s">
        <v>88</v>
      </c>
      <c r="C127" s="1154"/>
      <c r="D127" s="1154"/>
      <c r="E127" s="1154"/>
      <c r="F127" s="1155"/>
      <c r="G127" s="1250"/>
      <c r="H127" s="823"/>
    </row>
    <row r="128" spans="1:8" s="25" customFormat="1" ht="25.5" x14ac:dyDescent="0.2">
      <c r="A128" s="1551"/>
      <c r="B128" s="852" t="s">
        <v>101</v>
      </c>
      <c r="C128" s="717"/>
      <c r="D128" s="717"/>
      <c r="E128" s="717"/>
      <c r="F128" s="857"/>
      <c r="G128" s="1250"/>
      <c r="H128" s="823"/>
    </row>
    <row r="129" spans="1:8" s="25" customFormat="1" x14ac:dyDescent="0.2">
      <c r="A129" s="1551"/>
      <c r="B129" s="852" t="s">
        <v>90</v>
      </c>
      <c r="C129" s="717">
        <v>7925000</v>
      </c>
      <c r="D129" s="717">
        <v>7925000</v>
      </c>
      <c r="E129" s="717">
        <v>7704138</v>
      </c>
      <c r="F129" s="857">
        <f>E129/D129%</f>
        <v>97.213097791798106</v>
      </c>
      <c r="G129" s="1250"/>
      <c r="H129" s="823"/>
    </row>
    <row r="130" spans="1:8" s="25" customFormat="1" x14ac:dyDescent="0.2">
      <c r="A130" s="1551"/>
      <c r="B130" s="852" t="s">
        <v>102</v>
      </c>
      <c r="C130" s="717"/>
      <c r="D130" s="717"/>
      <c r="E130" s="717"/>
      <c r="F130" s="857"/>
      <c r="G130" s="1250"/>
      <c r="H130" s="823"/>
    </row>
    <row r="131" spans="1:8" s="25" customFormat="1" ht="25.5" x14ac:dyDescent="0.2">
      <c r="A131" s="1551"/>
      <c r="B131" s="852" t="s">
        <v>97</v>
      </c>
      <c r="C131" s="717">
        <v>2475945</v>
      </c>
      <c r="D131" s="717">
        <v>2475945</v>
      </c>
      <c r="E131" s="717">
        <v>2779292</v>
      </c>
      <c r="F131" s="857">
        <f t="shared" ref="F131" si="6">E131/D131%</f>
        <v>112.2517664972364</v>
      </c>
      <c r="G131" s="1250"/>
      <c r="H131" s="823"/>
    </row>
    <row r="132" spans="1:8" s="25" customFormat="1" x14ac:dyDescent="0.2">
      <c r="A132" s="1551"/>
      <c r="B132" s="852" t="s">
        <v>627</v>
      </c>
      <c r="C132" s="717"/>
      <c r="D132" s="717"/>
      <c r="E132" s="717"/>
      <c r="F132" s="857"/>
      <c r="G132" s="1250"/>
      <c r="H132" s="823"/>
    </row>
    <row r="133" spans="1:8" s="25" customFormat="1" x14ac:dyDescent="0.2">
      <c r="A133" s="1551"/>
      <c r="B133" s="852" t="s">
        <v>92</v>
      </c>
      <c r="C133" s="717"/>
      <c r="D133" s="717"/>
      <c r="E133" s="717"/>
      <c r="F133" s="857"/>
      <c r="G133" s="1250"/>
      <c r="H133" s="823"/>
    </row>
    <row r="134" spans="1:8" s="25" customFormat="1" x14ac:dyDescent="0.2">
      <c r="A134" s="1551"/>
      <c r="B134" s="852" t="s">
        <v>93</v>
      </c>
      <c r="C134" s="732"/>
      <c r="D134" s="732"/>
      <c r="E134" s="732"/>
      <c r="F134" s="857"/>
      <c r="G134" s="1250"/>
      <c r="H134" s="823"/>
    </row>
    <row r="135" spans="1:8" s="25" customFormat="1" x14ac:dyDescent="0.2">
      <c r="A135" s="1551"/>
      <c r="B135" s="852" t="s">
        <v>94</v>
      </c>
      <c r="C135" s="732"/>
      <c r="D135" s="732"/>
      <c r="E135" s="732"/>
      <c r="F135" s="857"/>
      <c r="G135" s="1250"/>
      <c r="H135" s="823"/>
    </row>
    <row r="136" spans="1:8" s="25" customFormat="1" ht="13.5" thickBot="1" x14ac:dyDescent="0.25">
      <c r="A136" s="1551"/>
      <c r="B136" s="853" t="s">
        <v>103</v>
      </c>
      <c r="C136" s="734"/>
      <c r="D136" s="734"/>
      <c r="E136" s="734"/>
      <c r="F136" s="858"/>
      <c r="G136" s="1250"/>
      <c r="H136" s="823"/>
    </row>
    <row r="137" spans="1:8" s="25" customFormat="1" ht="13.5" thickBot="1" x14ac:dyDescent="0.25">
      <c r="A137" s="1551"/>
      <c r="B137" s="848" t="s">
        <v>14</v>
      </c>
      <c r="C137" s="740">
        <f>SUM(C127:C136)</f>
        <v>10400945</v>
      </c>
      <c r="D137" s="740">
        <f>SUM(D127:D136)</f>
        <v>10400945</v>
      </c>
      <c r="E137" s="740">
        <f>SUM(E127:E136)</f>
        <v>10483430</v>
      </c>
      <c r="F137" s="849">
        <f>E137/D137*100</f>
        <v>100.79305293893968</v>
      </c>
      <c r="G137" s="1250"/>
      <c r="H137" s="823"/>
    </row>
    <row r="138" spans="1:8" x14ac:dyDescent="0.2">
      <c r="A138" s="1550" t="s">
        <v>484</v>
      </c>
      <c r="B138" s="850" t="s">
        <v>88</v>
      </c>
      <c r="C138" s="844"/>
      <c r="D138" s="844"/>
      <c r="E138" s="844"/>
      <c r="F138" s="856"/>
      <c r="G138" s="1111"/>
      <c r="H138" s="224"/>
    </row>
    <row r="139" spans="1:8" ht="25.5" x14ac:dyDescent="0.2">
      <c r="A139" s="1551"/>
      <c r="B139" s="852" t="s">
        <v>101</v>
      </c>
      <c r="C139" s="717"/>
      <c r="D139" s="717"/>
      <c r="E139" s="717"/>
      <c r="F139" s="857"/>
      <c r="G139" s="1111"/>
      <c r="H139" s="224"/>
    </row>
    <row r="140" spans="1:8" x14ac:dyDescent="0.2">
      <c r="A140" s="1551"/>
      <c r="B140" s="852" t="s">
        <v>90</v>
      </c>
      <c r="C140" s="717"/>
      <c r="D140" s="717"/>
      <c r="E140" s="717"/>
      <c r="F140" s="857"/>
      <c r="G140" s="1111"/>
      <c r="H140" s="224"/>
    </row>
    <row r="141" spans="1:8" x14ac:dyDescent="0.2">
      <c r="A141" s="1551"/>
      <c r="B141" s="852" t="s">
        <v>102</v>
      </c>
      <c r="C141" s="717"/>
      <c r="D141" s="717"/>
      <c r="E141" s="717"/>
      <c r="F141" s="857"/>
      <c r="G141" s="1111"/>
      <c r="H141" s="224"/>
    </row>
    <row r="142" spans="1:8" ht="25.5" x14ac:dyDescent="0.2">
      <c r="A142" s="1551"/>
      <c r="B142" s="852" t="s">
        <v>97</v>
      </c>
      <c r="C142" s="717">
        <v>5175936</v>
      </c>
      <c r="D142" s="717">
        <v>1410140</v>
      </c>
      <c r="E142" s="717">
        <v>1410140</v>
      </c>
      <c r="F142" s="857">
        <f t="shared" ref="F142" si="7">E142/D142%</f>
        <v>100</v>
      </c>
      <c r="G142" s="1111"/>
      <c r="H142" s="224"/>
    </row>
    <row r="143" spans="1:8" x14ac:dyDescent="0.2">
      <c r="A143" s="1551"/>
      <c r="B143" s="852" t="s">
        <v>627</v>
      </c>
      <c r="C143" s="717"/>
      <c r="D143" s="717"/>
      <c r="E143" s="717"/>
      <c r="F143" s="857"/>
      <c r="G143" s="1111"/>
      <c r="H143" s="224"/>
    </row>
    <row r="144" spans="1:8" x14ac:dyDescent="0.2">
      <c r="A144" s="1551"/>
      <c r="B144" s="852" t="s">
        <v>92</v>
      </c>
      <c r="C144" s="717"/>
      <c r="D144" s="717"/>
      <c r="E144" s="717"/>
      <c r="F144" s="857"/>
      <c r="G144" s="1111"/>
      <c r="H144" s="224"/>
    </row>
    <row r="145" spans="1:8" x14ac:dyDescent="0.2">
      <c r="A145" s="1551"/>
      <c r="B145" s="852" t="s">
        <v>93</v>
      </c>
      <c r="C145" s="732"/>
      <c r="D145" s="732"/>
      <c r="E145" s="732"/>
      <c r="F145" s="857"/>
      <c r="G145" s="1111"/>
      <c r="H145" s="224"/>
    </row>
    <row r="146" spans="1:8" x14ac:dyDescent="0.2">
      <c r="A146" s="1551"/>
      <c r="B146" s="852" t="s">
        <v>94</v>
      </c>
      <c r="C146" s="732"/>
      <c r="D146" s="732"/>
      <c r="E146" s="732"/>
      <c r="F146" s="857"/>
      <c r="G146" s="1111"/>
      <c r="H146" s="224"/>
    </row>
    <row r="147" spans="1:8" ht="13.5" thickBot="1" x14ac:dyDescent="0.25">
      <c r="A147" s="1551"/>
      <c r="B147" s="853" t="s">
        <v>103</v>
      </c>
      <c r="C147" s="734"/>
      <c r="D147" s="734"/>
      <c r="E147" s="734"/>
      <c r="F147" s="854"/>
      <c r="G147" s="1111"/>
      <c r="H147" s="224"/>
    </row>
    <row r="148" spans="1:8" s="25" customFormat="1" ht="13.5" thickBot="1" x14ac:dyDescent="0.25">
      <c r="A148" s="1551"/>
      <c r="B148" s="848" t="s">
        <v>14</v>
      </c>
      <c r="C148" s="740">
        <f>SUM(C138:C147)</f>
        <v>5175936</v>
      </c>
      <c r="D148" s="740">
        <f>SUM(D138:D147)</f>
        <v>1410140</v>
      </c>
      <c r="E148" s="740">
        <f>SUM(E138:E147)</f>
        <v>1410140</v>
      </c>
      <c r="F148" s="849">
        <f>E148/D148*100</f>
        <v>100</v>
      </c>
      <c r="G148" s="1250"/>
      <c r="H148" s="823"/>
    </row>
    <row r="149" spans="1:8" x14ac:dyDescent="0.2">
      <c r="A149" s="1550" t="s">
        <v>485</v>
      </c>
      <c r="B149" s="850" t="s">
        <v>88</v>
      </c>
      <c r="C149" s="844"/>
      <c r="D149" s="844"/>
      <c r="E149" s="844"/>
      <c r="F149" s="856"/>
      <c r="G149" s="1111"/>
      <c r="H149" s="224"/>
    </row>
    <row r="150" spans="1:8" ht="25.5" x14ac:dyDescent="0.2">
      <c r="A150" s="1551"/>
      <c r="B150" s="852" t="s">
        <v>101</v>
      </c>
      <c r="C150" s="717"/>
      <c r="D150" s="717"/>
      <c r="E150" s="717"/>
      <c r="F150" s="857"/>
      <c r="G150" s="1111"/>
      <c r="H150" s="224"/>
    </row>
    <row r="151" spans="1:8" x14ac:dyDescent="0.2">
      <c r="A151" s="1551"/>
      <c r="B151" s="852" t="s">
        <v>90</v>
      </c>
      <c r="C151" s="717"/>
      <c r="D151" s="717">
        <v>497252776</v>
      </c>
      <c r="E151" s="717">
        <v>157742793</v>
      </c>
      <c r="F151" s="857">
        <f t="shared" ref="F151" si="8">E151/D151*100</f>
        <v>31.722858194762498</v>
      </c>
      <c r="G151" s="1111"/>
      <c r="H151" s="224"/>
    </row>
    <row r="152" spans="1:8" x14ac:dyDescent="0.2">
      <c r="A152" s="1551"/>
      <c r="B152" s="852" t="s">
        <v>102</v>
      </c>
      <c r="C152" s="717"/>
      <c r="D152" s="717"/>
      <c r="E152" s="717"/>
      <c r="F152" s="857"/>
      <c r="G152" s="1111"/>
      <c r="H152" s="224"/>
    </row>
    <row r="153" spans="1:8" ht="25.5" x14ac:dyDescent="0.2">
      <c r="A153" s="1551"/>
      <c r="B153" s="852" t="s">
        <v>97</v>
      </c>
      <c r="C153" s="717">
        <v>50000</v>
      </c>
      <c r="D153" s="717">
        <v>50000</v>
      </c>
      <c r="E153" s="717">
        <v>32000</v>
      </c>
      <c r="F153" s="857">
        <f t="shared" ref="F153" si="9">E153/D153*100</f>
        <v>64</v>
      </c>
      <c r="G153" s="1111"/>
      <c r="H153" s="224"/>
    </row>
    <row r="154" spans="1:8" x14ac:dyDescent="0.2">
      <c r="A154" s="1551"/>
      <c r="B154" s="852" t="s">
        <v>627</v>
      </c>
      <c r="C154" s="717"/>
      <c r="D154" s="717"/>
      <c r="E154" s="717"/>
      <c r="F154" s="857"/>
      <c r="G154" s="1111"/>
      <c r="H154" s="224"/>
    </row>
    <row r="155" spans="1:8" x14ac:dyDescent="0.2">
      <c r="A155" s="1551"/>
      <c r="B155" s="852" t="s">
        <v>92</v>
      </c>
      <c r="C155" s="717">
        <v>1390854858</v>
      </c>
      <c r="D155" s="717">
        <v>586479311</v>
      </c>
      <c r="E155" s="717">
        <v>586479311</v>
      </c>
      <c r="F155" s="857">
        <f t="shared" ref="F155" si="10">E155/D155*100</f>
        <v>100</v>
      </c>
      <c r="G155" s="1111"/>
      <c r="H155" s="224"/>
    </row>
    <row r="156" spans="1:8" x14ac:dyDescent="0.2">
      <c r="A156" s="1551"/>
      <c r="B156" s="852" t="s">
        <v>93</v>
      </c>
      <c r="C156" s="732"/>
      <c r="D156" s="732"/>
      <c r="E156" s="732"/>
      <c r="F156" s="857"/>
      <c r="G156" s="1111"/>
      <c r="H156" s="224"/>
    </row>
    <row r="157" spans="1:8" x14ac:dyDescent="0.2">
      <c r="A157" s="1551"/>
      <c r="B157" s="852" t="s">
        <v>94</v>
      </c>
      <c r="C157" s="732"/>
      <c r="D157" s="732"/>
      <c r="E157" s="732"/>
      <c r="F157" s="857"/>
      <c r="G157" s="1111"/>
      <c r="H157" s="224"/>
    </row>
    <row r="158" spans="1:8" ht="13.5" thickBot="1" x14ac:dyDescent="0.25">
      <c r="A158" s="1551"/>
      <c r="B158" s="853" t="s">
        <v>103</v>
      </c>
      <c r="C158" s="734"/>
      <c r="D158" s="734"/>
      <c r="E158" s="734"/>
      <c r="F158" s="858"/>
      <c r="G158" s="1111"/>
      <c r="H158" s="224"/>
    </row>
    <row r="159" spans="1:8" ht="13.5" thickBot="1" x14ac:dyDescent="0.25">
      <c r="A159" s="1551"/>
      <c r="B159" s="848" t="s">
        <v>14</v>
      </c>
      <c r="C159" s="740">
        <f>SUM(C149:C158)</f>
        <v>1390904858</v>
      </c>
      <c r="D159" s="740">
        <f>SUM(D149:D158)</f>
        <v>1083782087</v>
      </c>
      <c r="E159" s="740">
        <f>SUM(E149:E158)</f>
        <v>744254104</v>
      </c>
      <c r="F159" s="849">
        <f>E159/D159*100</f>
        <v>68.671932570887748</v>
      </c>
      <c r="G159" s="1111"/>
      <c r="H159" s="224"/>
    </row>
    <row r="160" spans="1:8" ht="13.5" thickBot="1" x14ac:dyDescent="0.25">
      <c r="A160" s="860" t="s">
        <v>73</v>
      </c>
      <c r="B160" s="861" t="s">
        <v>24</v>
      </c>
      <c r="C160" s="862" t="s">
        <v>155</v>
      </c>
      <c r="D160" s="862" t="s">
        <v>148</v>
      </c>
      <c r="E160" s="862" t="s">
        <v>149</v>
      </c>
      <c r="F160" s="863" t="s">
        <v>150</v>
      </c>
      <c r="G160" s="1111"/>
      <c r="H160" s="224"/>
    </row>
    <row r="161" spans="1:8" x14ac:dyDescent="0.2">
      <c r="A161" s="1550" t="s">
        <v>629</v>
      </c>
      <c r="B161" s="850" t="s">
        <v>88</v>
      </c>
      <c r="C161" s="844"/>
      <c r="D161" s="844"/>
      <c r="E161" s="844"/>
      <c r="F161" s="856"/>
      <c r="G161" s="1111"/>
      <c r="H161" s="224"/>
    </row>
    <row r="162" spans="1:8" ht="25.5" x14ac:dyDescent="0.2">
      <c r="A162" s="1551"/>
      <c r="B162" s="852" t="s">
        <v>101</v>
      </c>
      <c r="C162" s="717"/>
      <c r="D162" s="717"/>
      <c r="E162" s="717"/>
      <c r="F162" s="857"/>
      <c r="G162" s="1111"/>
      <c r="H162" s="224"/>
    </row>
    <row r="163" spans="1:8" x14ac:dyDescent="0.2">
      <c r="A163" s="1551"/>
      <c r="B163" s="852" t="s">
        <v>90</v>
      </c>
      <c r="C163" s="717"/>
      <c r="D163" s="717">
        <v>2734490</v>
      </c>
      <c r="E163" s="717">
        <v>2853355</v>
      </c>
      <c r="F163" s="857">
        <f>E163/D163*100</f>
        <v>104.34688003978805</v>
      </c>
      <c r="G163" s="1111"/>
      <c r="H163" s="224"/>
    </row>
    <row r="164" spans="1:8" x14ac:dyDescent="0.2">
      <c r="A164" s="1551"/>
      <c r="B164" s="852" t="s">
        <v>102</v>
      </c>
      <c r="C164" s="717"/>
      <c r="D164" s="717"/>
      <c r="E164" s="717"/>
      <c r="F164" s="857"/>
      <c r="G164" s="1111"/>
      <c r="H164" s="224"/>
    </row>
    <row r="165" spans="1:8" ht="25.5" x14ac:dyDescent="0.2">
      <c r="A165" s="1551"/>
      <c r="B165" s="852" t="s">
        <v>97</v>
      </c>
      <c r="C165" s="717"/>
      <c r="D165" s="717"/>
      <c r="E165" s="717"/>
      <c r="F165" s="857"/>
      <c r="G165" s="1111"/>
      <c r="H165" s="224"/>
    </row>
    <row r="166" spans="1:8" x14ac:dyDescent="0.2">
      <c r="A166" s="1551"/>
      <c r="B166" s="852" t="s">
        <v>627</v>
      </c>
      <c r="C166" s="717"/>
      <c r="D166" s="717"/>
      <c r="E166" s="717"/>
      <c r="F166" s="857"/>
      <c r="G166" s="1111"/>
      <c r="H166" s="224"/>
    </row>
    <row r="167" spans="1:8" x14ac:dyDescent="0.2">
      <c r="A167" s="1551"/>
      <c r="B167" s="852" t="s">
        <v>92</v>
      </c>
      <c r="C167" s="717"/>
      <c r="D167" s="717">
        <v>250000</v>
      </c>
      <c r="E167" s="717">
        <v>250000</v>
      </c>
      <c r="F167" s="857">
        <f>E167/D167*100</f>
        <v>100</v>
      </c>
      <c r="G167" s="1111"/>
      <c r="H167" s="224"/>
    </row>
    <row r="168" spans="1:8" x14ac:dyDescent="0.2">
      <c r="A168" s="1551"/>
      <c r="B168" s="852" t="s">
        <v>93</v>
      </c>
      <c r="C168" s="732"/>
      <c r="D168" s="732"/>
      <c r="E168" s="732"/>
      <c r="F168" s="857"/>
      <c r="G168" s="1111"/>
      <c r="H168" s="224"/>
    </row>
    <row r="169" spans="1:8" x14ac:dyDescent="0.2">
      <c r="A169" s="1551"/>
      <c r="B169" s="852" t="s">
        <v>94</v>
      </c>
      <c r="C169" s="732"/>
      <c r="D169" s="732"/>
      <c r="E169" s="732"/>
      <c r="F169" s="857"/>
      <c r="G169" s="1111"/>
      <c r="H169" s="224"/>
    </row>
    <row r="170" spans="1:8" ht="13.5" thickBot="1" x14ac:dyDescent="0.25">
      <c r="A170" s="1551"/>
      <c r="B170" s="853" t="s">
        <v>103</v>
      </c>
      <c r="C170" s="734"/>
      <c r="D170" s="734"/>
      <c r="E170" s="734"/>
      <c r="F170" s="858"/>
      <c r="G170" s="1111"/>
      <c r="H170" s="224"/>
    </row>
    <row r="171" spans="1:8" ht="13.5" thickBot="1" x14ac:dyDescent="0.25">
      <c r="A171" s="1551"/>
      <c r="B171" s="848" t="s">
        <v>14</v>
      </c>
      <c r="C171" s="740">
        <f>SUM(C161:C170)</f>
        <v>0</v>
      </c>
      <c r="D171" s="740">
        <f>SUM(D161:D170)</f>
        <v>2984490</v>
      </c>
      <c r="E171" s="740">
        <f>SUM(E161:E170)</f>
        <v>3103355</v>
      </c>
      <c r="F171" s="849">
        <f>E171/D171*100</f>
        <v>103.9827575230609</v>
      </c>
      <c r="G171" s="1111"/>
      <c r="H171" s="224"/>
    </row>
    <row r="172" spans="1:8" x14ac:dyDescent="0.2">
      <c r="A172" s="1550" t="s">
        <v>104</v>
      </c>
      <c r="B172" s="850" t="s">
        <v>88</v>
      </c>
      <c r="C172" s="844"/>
      <c r="D172" s="844"/>
      <c r="E172" s="844"/>
      <c r="F172" s="856"/>
      <c r="G172" s="1111"/>
      <c r="H172" s="224"/>
    </row>
    <row r="173" spans="1:8" ht="25.5" x14ac:dyDescent="0.2">
      <c r="A173" s="1551"/>
      <c r="B173" s="852" t="s">
        <v>101</v>
      </c>
      <c r="C173" s="717"/>
      <c r="D173" s="717"/>
      <c r="E173" s="717"/>
      <c r="F173" s="857"/>
      <c r="G173" s="1111"/>
      <c r="H173" s="224"/>
    </row>
    <row r="174" spans="1:8" x14ac:dyDescent="0.2">
      <c r="A174" s="1551"/>
      <c r="B174" s="852" t="s">
        <v>90</v>
      </c>
      <c r="C174" s="717">
        <v>15397220</v>
      </c>
      <c r="D174" s="717">
        <v>15397220</v>
      </c>
      <c r="E174" s="717">
        <v>13792999</v>
      </c>
      <c r="F174" s="857">
        <f>E174/D174*100</f>
        <v>89.581099705011681</v>
      </c>
      <c r="G174" s="1111"/>
      <c r="H174" s="224"/>
    </row>
    <row r="175" spans="1:8" x14ac:dyDescent="0.2">
      <c r="A175" s="1551"/>
      <c r="B175" s="852" t="s">
        <v>102</v>
      </c>
      <c r="C175" s="717"/>
      <c r="D175" s="717"/>
      <c r="E175" s="717"/>
      <c r="F175" s="857"/>
      <c r="G175" s="1111"/>
      <c r="H175" s="224"/>
    </row>
    <row r="176" spans="1:8" ht="25.5" x14ac:dyDescent="0.2">
      <c r="A176" s="1551"/>
      <c r="B176" s="852" t="s">
        <v>97</v>
      </c>
      <c r="C176" s="717">
        <v>323796</v>
      </c>
      <c r="D176" s="717">
        <v>323796</v>
      </c>
      <c r="E176" s="717">
        <v>363466</v>
      </c>
      <c r="F176" s="857">
        <f>E176/D176*100</f>
        <v>112.25154109377509</v>
      </c>
      <c r="G176" s="1111"/>
      <c r="H176" s="224"/>
    </row>
    <row r="177" spans="1:8" x14ac:dyDescent="0.2">
      <c r="A177" s="1551"/>
      <c r="B177" s="852" t="s">
        <v>627</v>
      </c>
      <c r="C177" s="717"/>
      <c r="D177" s="717"/>
      <c r="E177" s="717"/>
      <c r="F177" s="857"/>
      <c r="G177" s="1111"/>
      <c r="H177" s="224"/>
    </row>
    <row r="178" spans="1:8" x14ac:dyDescent="0.2">
      <c r="A178" s="1551"/>
      <c r="B178" s="852" t="s">
        <v>92</v>
      </c>
      <c r="C178" s="717">
        <v>4184396</v>
      </c>
      <c r="D178" s="717">
        <v>4184396</v>
      </c>
      <c r="E178" s="717">
        <v>653796</v>
      </c>
      <c r="F178" s="857">
        <f>E178/D178*100</f>
        <v>15.624620614301325</v>
      </c>
      <c r="G178" s="1111"/>
      <c r="H178" s="224"/>
    </row>
    <row r="179" spans="1:8" x14ac:dyDescent="0.2">
      <c r="A179" s="1551"/>
      <c r="B179" s="852" t="s">
        <v>93</v>
      </c>
      <c r="C179" s="732"/>
      <c r="D179" s="732"/>
      <c r="E179" s="732"/>
      <c r="F179" s="857"/>
      <c r="G179" s="1111"/>
      <c r="H179" s="224"/>
    </row>
    <row r="180" spans="1:8" x14ac:dyDescent="0.2">
      <c r="A180" s="1551"/>
      <c r="B180" s="852" t="s">
        <v>94</v>
      </c>
      <c r="C180" s="732"/>
      <c r="D180" s="732"/>
      <c r="E180" s="732"/>
      <c r="F180" s="857"/>
      <c r="G180" s="1111"/>
      <c r="H180" s="224"/>
    </row>
    <row r="181" spans="1:8" ht="13.5" thickBot="1" x14ac:dyDescent="0.25">
      <c r="A181" s="1551"/>
      <c r="B181" s="853" t="s">
        <v>103</v>
      </c>
      <c r="C181" s="734"/>
      <c r="D181" s="734"/>
      <c r="E181" s="734"/>
      <c r="F181" s="858"/>
      <c r="G181" s="1111"/>
      <c r="H181" s="224"/>
    </row>
    <row r="182" spans="1:8" ht="13.5" thickBot="1" x14ac:dyDescent="0.25">
      <c r="A182" s="1551"/>
      <c r="B182" s="1153" t="s">
        <v>14</v>
      </c>
      <c r="C182" s="1147">
        <f>SUM(C172:C181)</f>
        <v>19905412</v>
      </c>
      <c r="D182" s="1147">
        <f>SUM(D172:D181)</f>
        <v>19905412</v>
      </c>
      <c r="E182" s="1147">
        <f>SUM(E172:E181)</f>
        <v>14810261</v>
      </c>
      <c r="F182" s="985">
        <f>E182/D182*100</f>
        <v>74.403187434653447</v>
      </c>
      <c r="G182" s="1111"/>
      <c r="H182" s="224"/>
    </row>
    <row r="183" spans="1:8" x14ac:dyDescent="0.2">
      <c r="A183" s="1550" t="s">
        <v>486</v>
      </c>
      <c r="B183" s="850" t="s">
        <v>88</v>
      </c>
      <c r="C183" s="867">
        <v>2538500</v>
      </c>
      <c r="D183" s="867">
        <v>3719938</v>
      </c>
      <c r="E183" s="982">
        <v>3816048</v>
      </c>
      <c r="F183" s="856">
        <f>E183/D183*100</f>
        <v>102.58364521129116</v>
      </c>
      <c r="G183" s="1111"/>
      <c r="H183" s="224"/>
    </row>
    <row r="184" spans="1:8" ht="25.5" x14ac:dyDescent="0.2">
      <c r="A184" s="1551"/>
      <c r="B184" s="852" t="s">
        <v>101</v>
      </c>
      <c r="C184" s="868">
        <v>495100</v>
      </c>
      <c r="D184" s="868">
        <v>828465</v>
      </c>
      <c r="E184" s="983">
        <v>694828</v>
      </c>
      <c r="F184" s="857">
        <f t="shared" ref="F184:F187" si="11">E184/D184*100</f>
        <v>83.869324594279789</v>
      </c>
      <c r="G184" s="1111"/>
      <c r="H184" s="224"/>
    </row>
    <row r="185" spans="1:8" x14ac:dyDescent="0.2">
      <c r="A185" s="1551"/>
      <c r="B185" s="852" t="s">
        <v>90</v>
      </c>
      <c r="C185" s="868">
        <v>9073000</v>
      </c>
      <c r="D185" s="868">
        <v>9885769</v>
      </c>
      <c r="E185" s="983">
        <v>9117361</v>
      </c>
      <c r="F185" s="857">
        <f t="shared" si="11"/>
        <v>92.227129725568133</v>
      </c>
      <c r="G185" s="1111"/>
      <c r="H185" s="224"/>
    </row>
    <row r="186" spans="1:8" x14ac:dyDescent="0.2">
      <c r="A186" s="1551"/>
      <c r="B186" s="852" t="s">
        <v>102</v>
      </c>
      <c r="C186" s="868"/>
      <c r="D186" s="868"/>
      <c r="E186" s="983"/>
      <c r="F186" s="857"/>
      <c r="G186" s="1111"/>
      <c r="H186" s="224"/>
    </row>
    <row r="187" spans="1:8" ht="25.5" x14ac:dyDescent="0.2">
      <c r="A187" s="1551"/>
      <c r="B187" s="852" t="s">
        <v>97</v>
      </c>
      <c r="C187" s="868">
        <v>1465604</v>
      </c>
      <c r="D187" s="868">
        <v>1766804</v>
      </c>
      <c r="E187" s="983">
        <v>1921268</v>
      </c>
      <c r="F187" s="857">
        <f t="shared" si="11"/>
        <v>108.74256567225341</v>
      </c>
      <c r="G187" s="1111"/>
      <c r="H187" s="224"/>
    </row>
    <row r="188" spans="1:8" x14ac:dyDescent="0.2">
      <c r="A188" s="1551"/>
      <c r="B188" s="852" t="s">
        <v>627</v>
      </c>
      <c r="C188" s="868"/>
      <c r="D188" s="868"/>
      <c r="E188" s="983"/>
      <c r="F188" s="857"/>
      <c r="G188" s="1111"/>
      <c r="H188" s="224"/>
    </row>
    <row r="189" spans="1:8" x14ac:dyDescent="0.2">
      <c r="A189" s="1551"/>
      <c r="B189" s="852" t="s">
        <v>92</v>
      </c>
      <c r="C189" s="868"/>
      <c r="D189" s="868"/>
      <c r="E189" s="983">
        <v>758170</v>
      </c>
      <c r="F189" s="857"/>
      <c r="G189" s="1111"/>
      <c r="H189" s="224"/>
    </row>
    <row r="190" spans="1:8" x14ac:dyDescent="0.2">
      <c r="A190" s="1551"/>
      <c r="B190" s="852" t="s">
        <v>93</v>
      </c>
      <c r="C190" s="836"/>
      <c r="D190" s="836"/>
      <c r="E190" s="983"/>
      <c r="F190" s="857"/>
      <c r="G190" s="1111"/>
      <c r="H190" s="224"/>
    </row>
    <row r="191" spans="1:8" x14ac:dyDescent="0.2">
      <c r="A191" s="1551"/>
      <c r="B191" s="852" t="s">
        <v>94</v>
      </c>
      <c r="C191" s="836"/>
      <c r="D191" s="836"/>
      <c r="E191" s="983"/>
      <c r="F191" s="857"/>
      <c r="G191" s="1111"/>
      <c r="H191" s="224"/>
    </row>
    <row r="192" spans="1:8" ht="13.5" thickBot="1" x14ac:dyDescent="0.25">
      <c r="A192" s="1551"/>
      <c r="B192" s="1144" t="s">
        <v>103</v>
      </c>
      <c r="C192" s="1240"/>
      <c r="D192" s="1240"/>
      <c r="E192" s="1241"/>
      <c r="F192" s="1242"/>
      <c r="G192" s="1111"/>
      <c r="H192" s="224"/>
    </row>
    <row r="193" spans="1:8" ht="13.5" thickBot="1" x14ac:dyDescent="0.25">
      <c r="A193" s="1551"/>
      <c r="B193" s="1237" t="s">
        <v>14</v>
      </c>
      <c r="C193" s="1238">
        <f>SUM(C183:C192)</f>
        <v>13572204</v>
      </c>
      <c r="D193" s="1238">
        <f>SUM(D183:D192)</f>
        <v>16200976</v>
      </c>
      <c r="E193" s="1238">
        <f>SUM(E183:E192)</f>
        <v>16307675</v>
      </c>
      <c r="F193" s="1239">
        <f>E193/D193*100</f>
        <v>100.65859612408536</v>
      </c>
      <c r="G193" s="1111"/>
      <c r="H193" s="224"/>
    </row>
    <row r="194" spans="1:8" ht="13.5" thickBot="1" x14ac:dyDescent="0.25">
      <c r="A194" s="1550" t="s">
        <v>106</v>
      </c>
      <c r="B194" s="850" t="s">
        <v>88</v>
      </c>
      <c r="C194" s="844">
        <v>480000</v>
      </c>
      <c r="D194" s="844">
        <v>600000</v>
      </c>
      <c r="E194" s="844">
        <v>580000</v>
      </c>
      <c r="F194" s="856">
        <f>E194/D194*100</f>
        <v>96.666666666666671</v>
      </c>
      <c r="G194" s="1111"/>
      <c r="H194" s="224"/>
    </row>
    <row r="195" spans="1:8" ht="26.25" thickBot="1" x14ac:dyDescent="0.25">
      <c r="A195" s="1551"/>
      <c r="B195" s="852" t="s">
        <v>101</v>
      </c>
      <c r="C195" s="717">
        <v>85000</v>
      </c>
      <c r="D195" s="717">
        <v>106060</v>
      </c>
      <c r="E195" s="717">
        <v>96390</v>
      </c>
      <c r="F195" s="856">
        <f>E195/D195*100</f>
        <v>90.88251932868188</v>
      </c>
      <c r="G195" s="1111"/>
      <c r="H195" s="224"/>
    </row>
    <row r="196" spans="1:8" ht="13.5" thickBot="1" x14ac:dyDescent="0.25">
      <c r="A196" s="1551"/>
      <c r="B196" s="852" t="s">
        <v>90</v>
      </c>
      <c r="C196" s="717">
        <v>1907000</v>
      </c>
      <c r="D196" s="717">
        <v>2087000</v>
      </c>
      <c r="E196" s="717">
        <v>2022627</v>
      </c>
      <c r="F196" s="856">
        <f>E196/D196*100</f>
        <v>96.915524676569248</v>
      </c>
      <c r="G196" s="1111"/>
      <c r="H196" s="224"/>
    </row>
    <row r="197" spans="1:8" ht="13.5" thickBot="1" x14ac:dyDescent="0.25">
      <c r="A197" s="1551"/>
      <c r="B197" s="852" t="s">
        <v>102</v>
      </c>
      <c r="C197" s="717"/>
      <c r="D197" s="717"/>
      <c r="E197" s="717"/>
      <c r="F197" s="856"/>
      <c r="G197" s="1111"/>
      <c r="H197" s="224"/>
    </row>
    <row r="198" spans="1:8" ht="26.25" thickBot="1" x14ac:dyDescent="0.25">
      <c r="A198" s="1551"/>
      <c r="B198" s="852" t="s">
        <v>97</v>
      </c>
      <c r="C198" s="717"/>
      <c r="D198" s="717"/>
      <c r="E198" s="717"/>
      <c r="F198" s="856"/>
      <c r="G198" s="1111"/>
      <c r="H198" s="224"/>
    </row>
    <row r="199" spans="1:8" ht="13.5" thickBot="1" x14ac:dyDescent="0.25">
      <c r="A199" s="1551"/>
      <c r="B199" s="852" t="s">
        <v>627</v>
      </c>
      <c r="C199" s="717"/>
      <c r="D199" s="717"/>
      <c r="E199" s="717"/>
      <c r="F199" s="856"/>
      <c r="G199" s="1111"/>
      <c r="H199" s="224"/>
    </row>
    <row r="200" spans="1:8" ht="13.5" thickBot="1" x14ac:dyDescent="0.25">
      <c r="A200" s="1551"/>
      <c r="B200" s="852" t="s">
        <v>92</v>
      </c>
      <c r="C200" s="717"/>
      <c r="D200" s="717"/>
      <c r="E200" s="717"/>
      <c r="F200" s="856"/>
      <c r="G200" s="1111"/>
      <c r="H200" s="224"/>
    </row>
    <row r="201" spans="1:8" ht="13.5" thickBot="1" x14ac:dyDescent="0.25">
      <c r="A201" s="1551"/>
      <c r="B201" s="852" t="s">
        <v>93</v>
      </c>
      <c r="C201" s="732"/>
      <c r="D201" s="732"/>
      <c r="E201" s="732"/>
      <c r="F201" s="856"/>
      <c r="G201" s="1111"/>
      <c r="H201" s="224"/>
    </row>
    <row r="202" spans="1:8" ht="13.5" thickBot="1" x14ac:dyDescent="0.25">
      <c r="A202" s="1551"/>
      <c r="B202" s="852" t="s">
        <v>94</v>
      </c>
      <c r="C202" s="732"/>
      <c r="D202" s="732"/>
      <c r="E202" s="732"/>
      <c r="F202" s="856"/>
      <c r="G202" s="1111"/>
      <c r="H202" s="224"/>
    </row>
    <row r="203" spans="1:8" ht="13.5" thickBot="1" x14ac:dyDescent="0.25">
      <c r="A203" s="1551"/>
      <c r="B203" s="853" t="s">
        <v>103</v>
      </c>
      <c r="C203" s="734"/>
      <c r="D203" s="734"/>
      <c r="E203" s="734"/>
      <c r="F203" s="856"/>
      <c r="G203" s="1111"/>
      <c r="H203" s="224"/>
    </row>
    <row r="204" spans="1:8" ht="13.5" thickBot="1" x14ac:dyDescent="0.25">
      <c r="A204" s="1551"/>
      <c r="B204" s="848" t="s">
        <v>14</v>
      </c>
      <c r="C204" s="740">
        <f>SUM(C194:C203)</f>
        <v>2472000</v>
      </c>
      <c r="D204" s="740">
        <f>SUM(D194:D203)</f>
        <v>2793060</v>
      </c>
      <c r="E204" s="740">
        <f>SUM(E194:E203)</f>
        <v>2699017</v>
      </c>
      <c r="F204" s="849">
        <f>E204/D204*100</f>
        <v>96.632976019133139</v>
      </c>
      <c r="G204" s="1111"/>
      <c r="H204" s="224"/>
    </row>
    <row r="205" spans="1:8" ht="13.5" thickBot="1" x14ac:dyDescent="0.25">
      <c r="A205" s="1550" t="s">
        <v>107</v>
      </c>
      <c r="B205" s="850" t="s">
        <v>88</v>
      </c>
      <c r="C205" s="844"/>
      <c r="D205" s="844"/>
      <c r="E205" s="844"/>
      <c r="F205" s="856"/>
      <c r="G205" s="1111"/>
      <c r="H205" s="224"/>
    </row>
    <row r="206" spans="1:8" ht="26.25" thickBot="1" x14ac:dyDescent="0.25">
      <c r="A206" s="1551"/>
      <c r="B206" s="852" t="s">
        <v>101</v>
      </c>
      <c r="C206" s="717"/>
      <c r="D206" s="717"/>
      <c r="E206" s="717"/>
      <c r="F206" s="856"/>
      <c r="G206" s="1111"/>
      <c r="H206" s="224"/>
    </row>
    <row r="207" spans="1:8" ht="13.5" thickBot="1" x14ac:dyDescent="0.25">
      <c r="A207" s="1551"/>
      <c r="B207" s="852" t="s">
        <v>90</v>
      </c>
      <c r="C207" s="717"/>
      <c r="D207" s="717">
        <v>11786139</v>
      </c>
      <c r="E207" s="717">
        <v>6711310</v>
      </c>
      <c r="F207" s="984">
        <f t="shared" ref="F207" si="12">E207/D207*100</f>
        <v>56.942396487942318</v>
      </c>
      <c r="G207" s="1111"/>
      <c r="H207" s="224"/>
    </row>
    <row r="208" spans="1:8" ht="13.5" thickBot="1" x14ac:dyDescent="0.25">
      <c r="A208" s="1551"/>
      <c r="B208" s="852" t="s">
        <v>102</v>
      </c>
      <c r="C208" s="717"/>
      <c r="D208" s="717"/>
      <c r="E208" s="717"/>
      <c r="F208" s="984"/>
      <c r="G208" s="1111"/>
      <c r="H208" s="224"/>
    </row>
    <row r="209" spans="1:8" ht="26.25" thickBot="1" x14ac:dyDescent="0.25">
      <c r="A209" s="1551"/>
      <c r="B209" s="852" t="s">
        <v>97</v>
      </c>
      <c r="C209" s="717">
        <v>11786139</v>
      </c>
      <c r="D209" s="717"/>
      <c r="E209" s="717"/>
      <c r="F209" s="984"/>
      <c r="G209" s="1111"/>
      <c r="H209" s="224"/>
    </row>
    <row r="210" spans="1:8" ht="13.5" thickBot="1" x14ac:dyDescent="0.25">
      <c r="A210" s="1551"/>
      <c r="B210" s="852" t="s">
        <v>627</v>
      </c>
      <c r="C210" s="717"/>
      <c r="D210" s="717"/>
      <c r="E210" s="717"/>
      <c r="F210" s="856"/>
      <c r="G210" s="1111"/>
      <c r="H210" s="224"/>
    </row>
    <row r="211" spans="1:8" ht="13.5" thickBot="1" x14ac:dyDescent="0.25">
      <c r="A211" s="1551"/>
      <c r="B211" s="852" t="s">
        <v>92</v>
      </c>
      <c r="C211" s="717"/>
      <c r="D211" s="717"/>
      <c r="E211" s="717"/>
      <c r="F211" s="856"/>
      <c r="G211" s="1111"/>
      <c r="H211" s="224"/>
    </row>
    <row r="212" spans="1:8" ht="13.5" thickBot="1" x14ac:dyDescent="0.25">
      <c r="A212" s="1551"/>
      <c r="B212" s="852" t="s">
        <v>93</v>
      </c>
      <c r="C212" s="732"/>
      <c r="D212" s="732"/>
      <c r="E212" s="732"/>
      <c r="F212" s="856"/>
      <c r="G212" s="1111"/>
      <c r="H212" s="224"/>
    </row>
    <row r="213" spans="1:8" ht="13.5" thickBot="1" x14ac:dyDescent="0.25">
      <c r="A213" s="1551"/>
      <c r="B213" s="852" t="s">
        <v>94</v>
      </c>
      <c r="C213" s="732"/>
      <c r="D213" s="732"/>
      <c r="E213" s="732"/>
      <c r="F213" s="856"/>
      <c r="G213" s="1111"/>
      <c r="H213" s="224"/>
    </row>
    <row r="214" spans="1:8" ht="13.5" thickBot="1" x14ac:dyDescent="0.25">
      <c r="A214" s="1551"/>
      <c r="B214" s="853" t="s">
        <v>103</v>
      </c>
      <c r="C214" s="734"/>
      <c r="D214" s="734"/>
      <c r="E214" s="734"/>
      <c r="F214" s="856"/>
      <c r="G214" s="1111"/>
      <c r="H214" s="224"/>
    </row>
    <row r="215" spans="1:8" ht="13.5" thickBot="1" x14ac:dyDescent="0.25">
      <c r="A215" s="1551"/>
      <c r="B215" s="848" t="s">
        <v>14</v>
      </c>
      <c r="C215" s="740">
        <f>SUM(C205:C214)</f>
        <v>11786139</v>
      </c>
      <c r="D215" s="740">
        <f>SUM(D205:D214)</f>
        <v>11786139</v>
      </c>
      <c r="E215" s="740">
        <f>SUM(E205:E214)</f>
        <v>6711310</v>
      </c>
      <c r="F215" s="849">
        <f>E215/D215*100</f>
        <v>56.942396487942318</v>
      </c>
      <c r="G215" s="1111"/>
      <c r="H215" s="224"/>
    </row>
    <row r="216" spans="1:8" ht="13.5" thickBot="1" x14ac:dyDescent="0.25">
      <c r="A216" s="860" t="s">
        <v>73</v>
      </c>
      <c r="B216" s="861" t="s">
        <v>24</v>
      </c>
      <c r="C216" s="862" t="s">
        <v>155</v>
      </c>
      <c r="D216" s="862" t="s">
        <v>148</v>
      </c>
      <c r="E216" s="862" t="s">
        <v>149</v>
      </c>
      <c r="F216" s="863" t="s">
        <v>150</v>
      </c>
      <c r="G216" s="1111"/>
      <c r="H216" s="224"/>
    </row>
    <row r="217" spans="1:8" x14ac:dyDescent="0.2">
      <c r="A217" s="1550" t="s">
        <v>630</v>
      </c>
      <c r="B217" s="850" t="s">
        <v>88</v>
      </c>
      <c r="C217" s="844"/>
      <c r="D217" s="844"/>
      <c r="E217" s="844"/>
      <c r="F217" s="851"/>
      <c r="G217" s="1111"/>
      <c r="H217" s="224"/>
    </row>
    <row r="218" spans="1:8" ht="25.5" x14ac:dyDescent="0.2">
      <c r="A218" s="1551"/>
      <c r="B218" s="852" t="s">
        <v>101</v>
      </c>
      <c r="C218" s="717"/>
      <c r="D218" s="717"/>
      <c r="E218" s="717"/>
      <c r="F218" s="845"/>
      <c r="G218" s="1111"/>
      <c r="H218" s="224"/>
    </row>
    <row r="219" spans="1:8" x14ac:dyDescent="0.2">
      <c r="A219" s="1551"/>
      <c r="B219" s="852" t="s">
        <v>90</v>
      </c>
      <c r="C219" s="717">
        <v>279400</v>
      </c>
      <c r="D219" s="717">
        <v>279400</v>
      </c>
      <c r="E219" s="717">
        <v>80000</v>
      </c>
      <c r="F219" s="845">
        <f>E219/D219%</f>
        <v>28.632784538296349</v>
      </c>
      <c r="G219" s="1111"/>
      <c r="H219" s="224"/>
    </row>
    <row r="220" spans="1:8" x14ac:dyDescent="0.2">
      <c r="A220" s="1551"/>
      <c r="B220" s="852" t="s">
        <v>102</v>
      </c>
      <c r="C220" s="717"/>
      <c r="D220" s="717"/>
      <c r="E220" s="717"/>
      <c r="F220" s="845"/>
      <c r="G220" s="1111"/>
      <c r="H220" s="224"/>
    </row>
    <row r="221" spans="1:8" ht="25.5" x14ac:dyDescent="0.2">
      <c r="A221" s="1551"/>
      <c r="B221" s="852" t="s">
        <v>97</v>
      </c>
      <c r="C221" s="717"/>
      <c r="D221" s="717"/>
      <c r="E221" s="717"/>
      <c r="F221" s="845"/>
      <c r="G221" s="1111"/>
      <c r="H221" s="224"/>
    </row>
    <row r="222" spans="1:8" x14ac:dyDescent="0.2">
      <c r="A222" s="1551"/>
      <c r="B222" s="852" t="s">
        <v>627</v>
      </c>
      <c r="C222" s="717"/>
      <c r="D222" s="717"/>
      <c r="E222" s="717"/>
      <c r="F222" s="845"/>
      <c r="G222" s="1111"/>
      <c r="H222" s="224"/>
    </row>
    <row r="223" spans="1:8" x14ac:dyDescent="0.2">
      <c r="A223" s="1551"/>
      <c r="B223" s="852" t="s">
        <v>92</v>
      </c>
      <c r="C223" s="717"/>
      <c r="D223" s="717"/>
      <c r="E223" s="717"/>
      <c r="F223" s="845"/>
      <c r="G223" s="1111"/>
      <c r="H223" s="224"/>
    </row>
    <row r="224" spans="1:8" x14ac:dyDescent="0.2">
      <c r="A224" s="1551"/>
      <c r="B224" s="852" t="s">
        <v>93</v>
      </c>
      <c r="C224" s="732"/>
      <c r="D224" s="732"/>
      <c r="E224" s="732"/>
      <c r="F224" s="845"/>
      <c r="G224" s="1111"/>
      <c r="H224" s="224"/>
    </row>
    <row r="225" spans="1:8" x14ac:dyDescent="0.2">
      <c r="A225" s="1551"/>
      <c r="B225" s="852" t="s">
        <v>94</v>
      </c>
      <c r="C225" s="732"/>
      <c r="D225" s="732"/>
      <c r="E225" s="732"/>
      <c r="F225" s="845"/>
      <c r="G225" s="1111"/>
      <c r="H225" s="224"/>
    </row>
    <row r="226" spans="1:8" ht="13.5" thickBot="1" x14ac:dyDescent="0.25">
      <c r="A226" s="1551"/>
      <c r="B226" s="853" t="s">
        <v>103</v>
      </c>
      <c r="C226" s="734"/>
      <c r="D226" s="734"/>
      <c r="E226" s="734"/>
      <c r="F226" s="854"/>
      <c r="G226" s="1111"/>
      <c r="H226" s="224"/>
    </row>
    <row r="227" spans="1:8" ht="13.5" thickBot="1" x14ac:dyDescent="0.25">
      <c r="A227" s="1551"/>
      <c r="B227" s="848" t="s">
        <v>14</v>
      </c>
      <c r="C227" s="740">
        <f>SUM(C217:C226)</f>
        <v>279400</v>
      </c>
      <c r="D227" s="740">
        <f>SUM(D217:D226)</f>
        <v>279400</v>
      </c>
      <c r="E227" s="740">
        <f>SUM(E217:E226)</f>
        <v>80000</v>
      </c>
      <c r="F227" s="849">
        <f>E227/D227*100</f>
        <v>28.632784538296352</v>
      </c>
      <c r="G227" s="1111"/>
      <c r="H227" s="224"/>
    </row>
    <row r="228" spans="1:8" x14ac:dyDescent="0.2">
      <c r="A228" s="1550" t="s">
        <v>538</v>
      </c>
      <c r="B228" s="850" t="s">
        <v>88</v>
      </c>
      <c r="C228" s="844"/>
      <c r="D228" s="844"/>
      <c r="E228" s="844"/>
      <c r="F228" s="856"/>
      <c r="G228" s="1111"/>
      <c r="H228" s="224"/>
    </row>
    <row r="229" spans="1:8" ht="25.5" x14ac:dyDescent="0.2">
      <c r="A229" s="1551"/>
      <c r="B229" s="852" t="s">
        <v>101</v>
      </c>
      <c r="C229" s="717"/>
      <c r="D229" s="717"/>
      <c r="E229" s="717"/>
      <c r="F229" s="857"/>
      <c r="G229" s="1111"/>
      <c r="H229" s="224"/>
    </row>
    <row r="230" spans="1:8" x14ac:dyDescent="0.2">
      <c r="A230" s="1551"/>
      <c r="B230" s="852" t="s">
        <v>90</v>
      </c>
      <c r="C230" s="717">
        <v>127000</v>
      </c>
      <c r="D230" s="717">
        <v>207000</v>
      </c>
      <c r="E230" s="717"/>
      <c r="F230" s="857"/>
      <c r="G230" s="1111"/>
      <c r="H230" s="224"/>
    </row>
    <row r="231" spans="1:8" x14ac:dyDescent="0.2">
      <c r="A231" s="1551"/>
      <c r="B231" s="852" t="s">
        <v>102</v>
      </c>
      <c r="C231" s="717"/>
      <c r="D231" s="717"/>
      <c r="E231" s="717"/>
      <c r="F231" s="857"/>
      <c r="G231" s="1111"/>
      <c r="H231" s="224"/>
    </row>
    <row r="232" spans="1:8" ht="25.5" x14ac:dyDescent="0.2">
      <c r="A232" s="1551"/>
      <c r="B232" s="852" t="s">
        <v>97</v>
      </c>
      <c r="C232" s="717"/>
      <c r="D232" s="717"/>
      <c r="E232" s="717"/>
      <c r="F232" s="857"/>
      <c r="G232" s="1111"/>
      <c r="H232" s="224"/>
    </row>
    <row r="233" spans="1:8" x14ac:dyDescent="0.2">
      <c r="A233" s="1551"/>
      <c r="B233" s="852" t="s">
        <v>627</v>
      </c>
      <c r="C233" s="717"/>
      <c r="D233" s="717"/>
      <c r="E233" s="717"/>
      <c r="F233" s="857"/>
      <c r="G233" s="1111"/>
      <c r="H233" s="224"/>
    </row>
    <row r="234" spans="1:8" x14ac:dyDescent="0.2">
      <c r="A234" s="1551"/>
      <c r="B234" s="852" t="s">
        <v>92</v>
      </c>
      <c r="C234" s="717"/>
      <c r="D234" s="717"/>
      <c r="E234" s="717"/>
      <c r="F234" s="857"/>
      <c r="G234" s="1111"/>
      <c r="H234" s="224"/>
    </row>
    <row r="235" spans="1:8" x14ac:dyDescent="0.2">
      <c r="A235" s="1551"/>
      <c r="B235" s="852" t="s">
        <v>93</v>
      </c>
      <c r="C235" s="732"/>
      <c r="D235" s="732"/>
      <c r="E235" s="732"/>
      <c r="F235" s="857"/>
      <c r="G235" s="1111"/>
      <c r="H235" s="224"/>
    </row>
    <row r="236" spans="1:8" x14ac:dyDescent="0.2">
      <c r="A236" s="1551"/>
      <c r="B236" s="852" t="s">
        <v>94</v>
      </c>
      <c r="C236" s="732"/>
      <c r="D236" s="732"/>
      <c r="E236" s="732"/>
      <c r="F236" s="857"/>
      <c r="G236" s="1111"/>
      <c r="H236" s="224"/>
    </row>
    <row r="237" spans="1:8" ht="13.5" thickBot="1" x14ac:dyDescent="0.25">
      <c r="A237" s="1551"/>
      <c r="B237" s="853" t="s">
        <v>103</v>
      </c>
      <c r="C237" s="734"/>
      <c r="D237" s="734"/>
      <c r="E237" s="734"/>
      <c r="F237" s="854"/>
      <c r="G237" s="1111"/>
      <c r="H237" s="224"/>
    </row>
    <row r="238" spans="1:8" ht="13.5" thickBot="1" x14ac:dyDescent="0.25">
      <c r="A238" s="1551"/>
      <c r="B238" s="848" t="s">
        <v>14</v>
      </c>
      <c r="C238" s="740">
        <f>SUM(C228:C237)</f>
        <v>127000</v>
      </c>
      <c r="D238" s="740">
        <f>SUM(D228:D237)</f>
        <v>207000</v>
      </c>
      <c r="E238" s="990">
        <f>SUM(E228:E237)</f>
        <v>0</v>
      </c>
      <c r="F238" s="992"/>
      <c r="G238" s="1111"/>
      <c r="H238" s="224"/>
    </row>
    <row r="239" spans="1:8" x14ac:dyDescent="0.2">
      <c r="A239" s="1550" t="s">
        <v>577</v>
      </c>
      <c r="B239" s="850" t="s">
        <v>88</v>
      </c>
      <c r="C239" s="844"/>
      <c r="D239" s="844"/>
      <c r="E239" s="986"/>
      <c r="F239" s="1154"/>
      <c r="G239" s="1111"/>
      <c r="H239" s="224"/>
    </row>
    <row r="240" spans="1:8" ht="25.5" x14ac:dyDescent="0.2">
      <c r="A240" s="1551"/>
      <c r="B240" s="852" t="s">
        <v>101</v>
      </c>
      <c r="C240" s="717"/>
      <c r="D240" s="717"/>
      <c r="E240" s="987"/>
      <c r="F240" s="717"/>
      <c r="G240" s="1111"/>
      <c r="H240" s="224"/>
    </row>
    <row r="241" spans="1:8" x14ac:dyDescent="0.2">
      <c r="A241" s="1551"/>
      <c r="B241" s="852" t="s">
        <v>90</v>
      </c>
      <c r="C241" s="717"/>
      <c r="D241" s="717"/>
      <c r="E241" s="987"/>
      <c r="F241" s="717"/>
      <c r="G241" s="1111"/>
      <c r="H241" s="224"/>
    </row>
    <row r="242" spans="1:8" x14ac:dyDescent="0.2">
      <c r="A242" s="1551"/>
      <c r="B242" s="852" t="s">
        <v>102</v>
      </c>
      <c r="C242" s="717"/>
      <c r="D242" s="717"/>
      <c r="E242" s="987"/>
      <c r="F242" s="717"/>
      <c r="G242" s="1111"/>
      <c r="H242" s="224"/>
    </row>
    <row r="243" spans="1:8" ht="25.5" x14ac:dyDescent="0.2">
      <c r="A243" s="1551"/>
      <c r="B243" s="852" t="s">
        <v>97</v>
      </c>
      <c r="C243" s="717"/>
      <c r="D243" s="717"/>
      <c r="E243" s="987"/>
      <c r="F243" s="717"/>
      <c r="G243" s="1111"/>
      <c r="H243" s="224"/>
    </row>
    <row r="244" spans="1:8" x14ac:dyDescent="0.2">
      <c r="A244" s="1551"/>
      <c r="B244" s="852" t="s">
        <v>627</v>
      </c>
      <c r="C244" s="717"/>
      <c r="D244" s="717"/>
      <c r="E244" s="987"/>
      <c r="F244" s="717"/>
      <c r="G244" s="1111"/>
      <c r="H244" s="224"/>
    </row>
    <row r="245" spans="1:8" x14ac:dyDescent="0.2">
      <c r="A245" s="1551"/>
      <c r="B245" s="852" t="s">
        <v>92</v>
      </c>
      <c r="C245" s="717"/>
      <c r="D245" s="717"/>
      <c r="E245" s="987"/>
      <c r="F245" s="717"/>
      <c r="G245" s="1111"/>
      <c r="H245" s="224"/>
    </row>
    <row r="246" spans="1:8" x14ac:dyDescent="0.2">
      <c r="A246" s="1551"/>
      <c r="B246" s="852" t="s">
        <v>93</v>
      </c>
      <c r="C246" s="732">
        <v>2024000</v>
      </c>
      <c r="D246" s="732">
        <v>2024000</v>
      </c>
      <c r="E246" s="988">
        <v>2024000</v>
      </c>
      <c r="F246" s="717">
        <f>E246/D246*100</f>
        <v>100</v>
      </c>
      <c r="G246" s="1111"/>
      <c r="H246" s="224"/>
    </row>
    <row r="247" spans="1:8" x14ac:dyDescent="0.2">
      <c r="A247" s="1551"/>
      <c r="B247" s="852" t="s">
        <v>94</v>
      </c>
      <c r="C247" s="732"/>
      <c r="D247" s="732"/>
      <c r="E247" s="988"/>
      <c r="F247" s="717"/>
      <c r="G247" s="1111"/>
      <c r="H247" s="224"/>
    </row>
    <row r="248" spans="1:8" ht="13.5" thickBot="1" x14ac:dyDescent="0.25">
      <c r="A248" s="1551"/>
      <c r="B248" s="853" t="s">
        <v>103</v>
      </c>
      <c r="C248" s="734"/>
      <c r="D248" s="734"/>
      <c r="E248" s="989"/>
      <c r="F248" s="991"/>
      <c r="G248" s="1111"/>
      <c r="H248" s="224"/>
    </row>
    <row r="249" spans="1:8" ht="13.5" thickBot="1" x14ac:dyDescent="0.25">
      <c r="A249" s="1551"/>
      <c r="B249" s="848" t="s">
        <v>14</v>
      </c>
      <c r="C249" s="740">
        <f>SUM(C239:C248)</f>
        <v>2024000</v>
      </c>
      <c r="D249" s="740">
        <f>SUM(D239:D248)</f>
        <v>2024000</v>
      </c>
      <c r="E249" s="990">
        <f>SUM(E239:E248)</f>
        <v>2024000</v>
      </c>
      <c r="F249" s="992">
        <f>E249/D249*100</f>
        <v>100</v>
      </c>
      <c r="G249" s="1111"/>
      <c r="H249" s="224"/>
    </row>
    <row r="250" spans="1:8" x14ac:dyDescent="0.2">
      <c r="A250" s="1550" t="s">
        <v>487</v>
      </c>
      <c r="B250" s="850" t="s">
        <v>88</v>
      </c>
      <c r="C250" s="844"/>
      <c r="D250" s="844"/>
      <c r="E250" s="986"/>
      <c r="F250" s="1154"/>
      <c r="G250" s="1111"/>
      <c r="H250" s="224"/>
    </row>
    <row r="251" spans="1:8" ht="25.5" x14ac:dyDescent="0.2">
      <c r="A251" s="1551"/>
      <c r="B251" s="852" t="s">
        <v>101</v>
      </c>
      <c r="C251" s="717"/>
      <c r="D251" s="717"/>
      <c r="E251" s="987"/>
      <c r="F251" s="717"/>
      <c r="G251" s="1111"/>
      <c r="H251" s="224"/>
    </row>
    <row r="252" spans="1:8" x14ac:dyDescent="0.2">
      <c r="A252" s="1551"/>
      <c r="B252" s="852" t="s">
        <v>90</v>
      </c>
      <c r="C252" s="717"/>
      <c r="D252" s="717">
        <v>268210</v>
      </c>
      <c r="E252" s="987">
        <v>249340</v>
      </c>
      <c r="F252" s="717">
        <f t="shared" ref="F252" si="13">E252/D252*100</f>
        <v>92.964468140636072</v>
      </c>
      <c r="G252" s="1111"/>
      <c r="H252" s="224"/>
    </row>
    <row r="253" spans="1:8" x14ac:dyDescent="0.2">
      <c r="A253" s="1551"/>
      <c r="B253" s="852" t="s">
        <v>102</v>
      </c>
      <c r="C253" s="717"/>
      <c r="D253" s="717"/>
      <c r="E253" s="987"/>
      <c r="F253" s="717"/>
      <c r="G253" s="1111"/>
      <c r="H253" s="224"/>
    </row>
    <row r="254" spans="1:8" ht="25.5" x14ac:dyDescent="0.2">
      <c r="A254" s="1551"/>
      <c r="B254" s="852" t="s">
        <v>97</v>
      </c>
      <c r="C254" s="717"/>
      <c r="D254" s="717"/>
      <c r="E254" s="987"/>
      <c r="F254" s="717"/>
      <c r="G254" s="1111"/>
      <c r="H254" s="224"/>
    </row>
    <row r="255" spans="1:8" x14ac:dyDescent="0.2">
      <c r="A255" s="1551"/>
      <c r="B255" s="852" t="s">
        <v>627</v>
      </c>
      <c r="C255" s="717"/>
      <c r="D255" s="717"/>
      <c r="E255" s="987"/>
      <c r="F255" s="717"/>
      <c r="G255" s="1111"/>
      <c r="H255" s="224"/>
    </row>
    <row r="256" spans="1:8" x14ac:dyDescent="0.2">
      <c r="A256" s="1551"/>
      <c r="B256" s="852" t="s">
        <v>92</v>
      </c>
      <c r="C256" s="717"/>
      <c r="D256" s="717">
        <v>29290</v>
      </c>
      <c r="E256" s="987">
        <v>29290</v>
      </c>
      <c r="F256" s="717">
        <f>E256/D256*100</f>
        <v>100</v>
      </c>
      <c r="G256" s="1111"/>
      <c r="H256" s="224"/>
    </row>
    <row r="257" spans="1:8" x14ac:dyDescent="0.2">
      <c r="A257" s="1551"/>
      <c r="B257" s="852" t="s">
        <v>93</v>
      </c>
      <c r="C257" s="732"/>
      <c r="D257" s="732"/>
      <c r="E257" s="988"/>
      <c r="F257" s="717"/>
      <c r="G257" s="1111"/>
      <c r="H257" s="224"/>
    </row>
    <row r="258" spans="1:8" x14ac:dyDescent="0.2">
      <c r="A258" s="1551"/>
      <c r="B258" s="852" t="s">
        <v>94</v>
      </c>
      <c r="C258" s="732"/>
      <c r="D258" s="732"/>
      <c r="E258" s="988"/>
      <c r="F258" s="717"/>
      <c r="G258" s="1111"/>
      <c r="H258" s="224"/>
    </row>
    <row r="259" spans="1:8" ht="13.5" thickBot="1" x14ac:dyDescent="0.25">
      <c r="A259" s="1551"/>
      <c r="B259" s="853" t="s">
        <v>103</v>
      </c>
      <c r="C259" s="734"/>
      <c r="D259" s="734"/>
      <c r="E259" s="989"/>
      <c r="F259" s="991"/>
      <c r="G259" s="1111"/>
      <c r="H259" s="224"/>
    </row>
    <row r="260" spans="1:8" ht="13.5" thickBot="1" x14ac:dyDescent="0.25">
      <c r="A260" s="1551"/>
      <c r="B260" s="848" t="s">
        <v>14</v>
      </c>
      <c r="C260" s="740">
        <f>SUM(C250:C259)</f>
        <v>0</v>
      </c>
      <c r="D260" s="740">
        <f>SUM(D250:D259)</f>
        <v>297500</v>
      </c>
      <c r="E260" s="990">
        <f>SUM(E250:E259)</f>
        <v>278630</v>
      </c>
      <c r="F260" s="992">
        <f>E260/D260*100</f>
        <v>93.657142857142858</v>
      </c>
      <c r="G260" s="1111"/>
      <c r="H260" s="224"/>
    </row>
    <row r="261" spans="1:8" ht="13.15" customHeight="1" x14ac:dyDescent="0.2">
      <c r="A261" s="1550" t="s">
        <v>156</v>
      </c>
      <c r="B261" s="850" t="s">
        <v>88</v>
      </c>
      <c r="C261" s="844"/>
      <c r="D261" s="844"/>
      <c r="E261" s="844"/>
      <c r="F261" s="851"/>
      <c r="G261" s="1111"/>
      <c r="H261" s="224"/>
    </row>
    <row r="262" spans="1:8" ht="25.5" x14ac:dyDescent="0.2">
      <c r="A262" s="1551"/>
      <c r="B262" s="852" t="s">
        <v>101</v>
      </c>
      <c r="C262" s="717"/>
      <c r="D262" s="717"/>
      <c r="E262" s="717"/>
      <c r="F262" s="845"/>
      <c r="G262" s="1111"/>
      <c r="H262" s="224"/>
    </row>
    <row r="263" spans="1:8" x14ac:dyDescent="0.2">
      <c r="A263" s="1551"/>
      <c r="B263" s="852" t="s">
        <v>90</v>
      </c>
      <c r="C263" s="717">
        <v>432020</v>
      </c>
      <c r="D263" s="717">
        <v>432020</v>
      </c>
      <c r="E263" s="717">
        <v>432020</v>
      </c>
      <c r="F263" s="717">
        <f t="shared" ref="F263" si="14">E263/D263*100</f>
        <v>100</v>
      </c>
      <c r="G263" s="1111"/>
      <c r="H263" s="224"/>
    </row>
    <row r="264" spans="1:8" x14ac:dyDescent="0.2">
      <c r="A264" s="1551"/>
      <c r="B264" s="852" t="s">
        <v>102</v>
      </c>
      <c r="C264" s="717"/>
      <c r="D264" s="717"/>
      <c r="E264" s="717"/>
      <c r="F264" s="717"/>
      <c r="G264" s="1111"/>
      <c r="H264" s="224"/>
    </row>
    <row r="265" spans="1:8" ht="25.5" x14ac:dyDescent="0.2">
      <c r="A265" s="1551"/>
      <c r="B265" s="852" t="s">
        <v>97</v>
      </c>
      <c r="C265" s="717">
        <v>445524</v>
      </c>
      <c r="D265" s="717">
        <v>445524</v>
      </c>
      <c r="E265" s="717">
        <v>754498</v>
      </c>
      <c r="F265" s="717">
        <f>E265/D265*100</f>
        <v>169.3506971566066</v>
      </c>
      <c r="G265" s="1111"/>
      <c r="H265" s="224"/>
    </row>
    <row r="266" spans="1:8" x14ac:dyDescent="0.2">
      <c r="A266" s="1551"/>
      <c r="B266" s="852" t="s">
        <v>627</v>
      </c>
      <c r="C266" s="717"/>
      <c r="D266" s="717"/>
      <c r="E266" s="717"/>
      <c r="F266" s="845"/>
      <c r="G266" s="1111"/>
      <c r="H266" s="224"/>
    </row>
    <row r="267" spans="1:8" ht="13.5" thickBot="1" x14ac:dyDescent="0.25">
      <c r="A267" s="1551"/>
      <c r="B267" s="852" t="s">
        <v>92</v>
      </c>
      <c r="C267" s="717"/>
      <c r="D267" s="717"/>
      <c r="E267" s="717"/>
      <c r="F267" s="845"/>
      <c r="G267" s="1111"/>
      <c r="H267" s="224"/>
    </row>
    <row r="268" spans="1:8" ht="13.5" thickBot="1" x14ac:dyDescent="0.25">
      <c r="A268" s="1551"/>
      <c r="B268" s="852" t="s">
        <v>93</v>
      </c>
      <c r="C268" s="732"/>
      <c r="D268" s="732"/>
      <c r="E268" s="732"/>
      <c r="F268" s="849"/>
      <c r="G268" s="1111"/>
      <c r="H268" s="224"/>
    </row>
    <row r="269" spans="1:8" x14ac:dyDescent="0.2">
      <c r="A269" s="1551"/>
      <c r="B269" s="852" t="s">
        <v>94</v>
      </c>
      <c r="C269" s="732"/>
      <c r="D269" s="732"/>
      <c r="E269" s="732"/>
      <c r="F269" s="845"/>
      <c r="G269" s="1111"/>
      <c r="H269" s="224"/>
    </row>
    <row r="270" spans="1:8" ht="13.5" thickBot="1" x14ac:dyDescent="0.25">
      <c r="A270" s="1551"/>
      <c r="B270" s="853" t="s">
        <v>103</v>
      </c>
      <c r="C270" s="734"/>
      <c r="D270" s="734"/>
      <c r="E270" s="734"/>
      <c r="F270" s="854"/>
      <c r="G270" s="1111"/>
      <c r="H270" s="224"/>
    </row>
    <row r="271" spans="1:8" ht="13.5" thickBot="1" x14ac:dyDescent="0.25">
      <c r="A271" s="1551"/>
      <c r="B271" s="848" t="s">
        <v>14</v>
      </c>
      <c r="C271" s="740">
        <f>SUM(C261:C270)</f>
        <v>877544</v>
      </c>
      <c r="D271" s="740">
        <f>SUM(D261:D270)</f>
        <v>877544</v>
      </c>
      <c r="E271" s="740">
        <f>SUM(E261:E270)</f>
        <v>1186518</v>
      </c>
      <c r="F271" s="849">
        <f>E271/D271*100</f>
        <v>135.20894678785339</v>
      </c>
      <c r="G271" s="1111"/>
      <c r="H271" s="224"/>
    </row>
    <row r="272" spans="1:8" x14ac:dyDescent="0.2">
      <c r="A272" s="1550" t="s">
        <v>144</v>
      </c>
      <c r="B272" s="850" t="s">
        <v>88</v>
      </c>
      <c r="C272" s="844"/>
      <c r="D272" s="844"/>
      <c r="E272" s="844"/>
      <c r="F272" s="856"/>
      <c r="G272" s="1111"/>
      <c r="H272" s="224"/>
    </row>
    <row r="273" spans="1:8" ht="25.5" x14ac:dyDescent="0.2">
      <c r="A273" s="1551"/>
      <c r="B273" s="852" t="s">
        <v>101</v>
      </c>
      <c r="C273" s="717"/>
      <c r="D273" s="717"/>
      <c r="E273" s="717"/>
      <c r="F273" s="857"/>
      <c r="G273" s="1111"/>
      <c r="H273" s="224"/>
    </row>
    <row r="274" spans="1:8" x14ac:dyDescent="0.2">
      <c r="A274" s="1551"/>
      <c r="B274" s="852" t="s">
        <v>90</v>
      </c>
      <c r="C274" s="717"/>
      <c r="D274" s="717"/>
      <c r="E274" s="717"/>
      <c r="F274" s="857"/>
      <c r="G274" s="1111"/>
      <c r="H274" s="224"/>
    </row>
    <row r="275" spans="1:8" x14ac:dyDescent="0.2">
      <c r="A275" s="1551"/>
      <c r="B275" s="852" t="s">
        <v>102</v>
      </c>
      <c r="C275" s="717"/>
      <c r="D275" s="717"/>
      <c r="E275" s="717"/>
      <c r="F275" s="857"/>
      <c r="G275" s="1111"/>
      <c r="H275" s="224"/>
    </row>
    <row r="276" spans="1:8" ht="25.5" x14ac:dyDescent="0.2">
      <c r="A276" s="1551"/>
      <c r="B276" s="852" t="s">
        <v>97</v>
      </c>
      <c r="C276" s="717">
        <v>3200000</v>
      </c>
      <c r="D276" s="717">
        <v>3210000</v>
      </c>
      <c r="E276" s="717">
        <v>3200000</v>
      </c>
      <c r="F276" s="857">
        <f>E276/D276*100</f>
        <v>99.688473520249218</v>
      </c>
      <c r="G276" s="1111"/>
      <c r="H276" s="224"/>
    </row>
    <row r="277" spans="1:8" x14ac:dyDescent="0.2">
      <c r="A277" s="1551"/>
      <c r="B277" s="852" t="s">
        <v>627</v>
      </c>
      <c r="C277" s="717"/>
      <c r="D277" s="717"/>
      <c r="E277" s="717"/>
      <c r="F277" s="857"/>
      <c r="G277" s="1111"/>
      <c r="H277" s="224"/>
    </row>
    <row r="278" spans="1:8" x14ac:dyDescent="0.2">
      <c r="A278" s="1551"/>
      <c r="B278" s="852" t="s">
        <v>92</v>
      </c>
      <c r="C278" s="717"/>
      <c r="D278" s="717"/>
      <c r="E278" s="717"/>
      <c r="F278" s="857"/>
      <c r="G278" s="1111"/>
      <c r="H278" s="224"/>
    </row>
    <row r="279" spans="1:8" x14ac:dyDescent="0.2">
      <c r="A279" s="1551"/>
      <c r="B279" s="852" t="s">
        <v>93</v>
      </c>
      <c r="C279" s="732"/>
      <c r="D279" s="732"/>
      <c r="E279" s="732"/>
      <c r="F279" s="857"/>
      <c r="G279" s="1111"/>
      <c r="H279" s="224"/>
    </row>
    <row r="280" spans="1:8" x14ac:dyDescent="0.2">
      <c r="A280" s="1551"/>
      <c r="B280" s="852" t="s">
        <v>94</v>
      </c>
      <c r="C280" s="732"/>
      <c r="D280" s="732"/>
      <c r="E280" s="732"/>
      <c r="F280" s="857"/>
      <c r="G280" s="1111"/>
      <c r="H280" s="224"/>
    </row>
    <row r="281" spans="1:8" ht="13.5" thickBot="1" x14ac:dyDescent="0.25">
      <c r="A281" s="1551"/>
      <c r="B281" s="853" t="s">
        <v>103</v>
      </c>
      <c r="C281" s="734"/>
      <c r="D281" s="734"/>
      <c r="E281" s="734"/>
      <c r="F281" s="858"/>
      <c r="G281" s="1111"/>
      <c r="H281" s="224"/>
    </row>
    <row r="282" spans="1:8" ht="13.5" thickBot="1" x14ac:dyDescent="0.25">
      <c r="A282" s="1551"/>
      <c r="B282" s="1153" t="s">
        <v>14</v>
      </c>
      <c r="C282" s="1147">
        <f>SUM(C272:C281)</f>
        <v>3200000</v>
      </c>
      <c r="D282" s="1147">
        <f>SUM(D272:D281)</f>
        <v>3210000</v>
      </c>
      <c r="E282" s="1147">
        <f>SUM(E272:E281)</f>
        <v>3200000</v>
      </c>
      <c r="F282" s="985">
        <f>E282/D282*100</f>
        <v>99.688473520249218</v>
      </c>
      <c r="G282" s="1111"/>
      <c r="H282" s="224"/>
    </row>
    <row r="283" spans="1:8" ht="13.5" thickBot="1" x14ac:dyDescent="0.25">
      <c r="A283" s="860" t="s">
        <v>73</v>
      </c>
      <c r="B283" s="861" t="s">
        <v>24</v>
      </c>
      <c r="C283" s="862" t="s">
        <v>155</v>
      </c>
      <c r="D283" s="862" t="s">
        <v>148</v>
      </c>
      <c r="E283" s="862" t="s">
        <v>149</v>
      </c>
      <c r="F283" s="863" t="s">
        <v>150</v>
      </c>
      <c r="G283" s="1111"/>
      <c r="H283" s="224"/>
    </row>
    <row r="284" spans="1:8" x14ac:dyDescent="0.2">
      <c r="A284" s="1550" t="s">
        <v>609</v>
      </c>
      <c r="B284" s="850" t="s">
        <v>88</v>
      </c>
      <c r="C284" s="844"/>
      <c r="D284" s="844"/>
      <c r="E284" s="844"/>
      <c r="F284" s="856"/>
      <c r="G284" s="1111"/>
      <c r="H284" s="224"/>
    </row>
    <row r="285" spans="1:8" ht="25.5" x14ac:dyDescent="0.2">
      <c r="A285" s="1551"/>
      <c r="B285" s="852" t="s">
        <v>101</v>
      </c>
      <c r="C285" s="717"/>
      <c r="D285" s="717"/>
      <c r="E285" s="717"/>
      <c r="F285" s="857"/>
      <c r="G285" s="1111"/>
      <c r="H285" s="224"/>
    </row>
    <row r="286" spans="1:8" x14ac:dyDescent="0.2">
      <c r="A286" s="1551"/>
      <c r="B286" s="852" t="s">
        <v>90</v>
      </c>
      <c r="C286" s="717"/>
      <c r="D286" s="717">
        <v>208600</v>
      </c>
      <c r="E286" s="717">
        <v>208600</v>
      </c>
      <c r="F286" s="857">
        <f t="shared" ref="F286" si="15">E286/D286%</f>
        <v>100</v>
      </c>
      <c r="G286" s="1111"/>
      <c r="H286" s="224"/>
    </row>
    <row r="287" spans="1:8" x14ac:dyDescent="0.2">
      <c r="A287" s="1551"/>
      <c r="B287" s="852" t="s">
        <v>102</v>
      </c>
      <c r="C287" s="717"/>
      <c r="D287" s="717"/>
      <c r="E287" s="717"/>
      <c r="F287" s="857"/>
      <c r="G287" s="1111"/>
      <c r="H287" s="224"/>
    </row>
    <row r="288" spans="1:8" ht="25.5" x14ac:dyDescent="0.2">
      <c r="A288" s="1551"/>
      <c r="B288" s="852" t="s">
        <v>97</v>
      </c>
      <c r="C288" s="717"/>
      <c r="D288" s="717"/>
      <c r="E288" s="717"/>
      <c r="F288" s="857"/>
      <c r="G288" s="1111"/>
      <c r="H288" s="224"/>
    </row>
    <row r="289" spans="1:8" x14ac:dyDescent="0.2">
      <c r="A289" s="1551"/>
      <c r="B289" s="852" t="s">
        <v>627</v>
      </c>
      <c r="C289" s="717"/>
      <c r="D289" s="717"/>
      <c r="E289" s="717"/>
      <c r="F289" s="857"/>
      <c r="G289" s="1111"/>
      <c r="H289" s="224"/>
    </row>
    <row r="290" spans="1:8" x14ac:dyDescent="0.2">
      <c r="A290" s="1551"/>
      <c r="B290" s="852" t="s">
        <v>92</v>
      </c>
      <c r="C290" s="717"/>
      <c r="D290" s="717"/>
      <c r="E290" s="717"/>
      <c r="F290" s="857"/>
      <c r="G290" s="1111"/>
      <c r="H290" s="224"/>
    </row>
    <row r="291" spans="1:8" x14ac:dyDescent="0.2">
      <c r="A291" s="1551"/>
      <c r="B291" s="852" t="s">
        <v>93</v>
      </c>
      <c r="C291" s="732"/>
      <c r="D291" s="732"/>
      <c r="E291" s="732"/>
      <c r="F291" s="857"/>
      <c r="G291" s="1111"/>
      <c r="H291" s="224"/>
    </row>
    <row r="292" spans="1:8" x14ac:dyDescent="0.2">
      <c r="A292" s="1551"/>
      <c r="B292" s="852" t="s">
        <v>94</v>
      </c>
      <c r="C292" s="732"/>
      <c r="D292" s="732"/>
      <c r="E292" s="732"/>
      <c r="F292" s="857"/>
      <c r="G292" s="1111"/>
      <c r="H292" s="224"/>
    </row>
    <row r="293" spans="1:8" ht="13.5" thickBot="1" x14ac:dyDescent="0.25">
      <c r="A293" s="1551"/>
      <c r="B293" s="853" t="s">
        <v>103</v>
      </c>
      <c r="C293" s="734"/>
      <c r="D293" s="734"/>
      <c r="E293" s="734"/>
      <c r="F293" s="858"/>
      <c r="G293" s="1111"/>
      <c r="H293" s="224"/>
    </row>
    <row r="294" spans="1:8" ht="18.75" customHeight="1" thickBot="1" x14ac:dyDescent="0.25">
      <c r="A294" s="1551"/>
      <c r="B294" s="848" t="s">
        <v>14</v>
      </c>
      <c r="C294" s="740">
        <f>SUM(C284:C293)</f>
        <v>0</v>
      </c>
      <c r="D294" s="740">
        <f>SUM(D284:D293)</f>
        <v>208600</v>
      </c>
      <c r="E294" s="740">
        <f>SUM(E284:E293)</f>
        <v>208600</v>
      </c>
      <c r="F294" s="849">
        <f t="shared" ref="F294" si="16">E294/D294%</f>
        <v>100</v>
      </c>
      <c r="G294" s="1111"/>
      <c r="H294" s="224"/>
    </row>
    <row r="295" spans="1:8" x14ac:dyDescent="0.2">
      <c r="A295" s="1550" t="s">
        <v>540</v>
      </c>
      <c r="B295" s="850" t="s">
        <v>88</v>
      </c>
      <c r="C295" s="844"/>
      <c r="D295" s="844"/>
      <c r="E295" s="844"/>
      <c r="F295" s="856"/>
      <c r="G295" s="1111"/>
      <c r="H295" s="224"/>
    </row>
    <row r="296" spans="1:8" ht="25.5" x14ac:dyDescent="0.2">
      <c r="A296" s="1551"/>
      <c r="B296" s="852" t="s">
        <v>101</v>
      </c>
      <c r="C296" s="717"/>
      <c r="D296" s="717"/>
      <c r="E296" s="717"/>
      <c r="F296" s="857"/>
      <c r="G296" s="1111"/>
      <c r="H296" s="224"/>
    </row>
    <row r="297" spans="1:8" x14ac:dyDescent="0.2">
      <c r="A297" s="1551"/>
      <c r="B297" s="852" t="s">
        <v>90</v>
      </c>
      <c r="C297" s="717"/>
      <c r="D297" s="717"/>
      <c r="E297" s="717">
        <v>1778</v>
      </c>
      <c r="F297" s="857"/>
      <c r="G297" s="1111"/>
      <c r="H297" s="224"/>
    </row>
    <row r="298" spans="1:8" x14ac:dyDescent="0.2">
      <c r="A298" s="1551"/>
      <c r="B298" s="852" t="s">
        <v>102</v>
      </c>
      <c r="C298" s="717"/>
      <c r="D298" s="717"/>
      <c r="E298" s="717"/>
      <c r="F298" s="857"/>
      <c r="G298" s="1111"/>
      <c r="H298" s="224"/>
    </row>
    <row r="299" spans="1:8" ht="25.5" x14ac:dyDescent="0.2">
      <c r="A299" s="1551"/>
      <c r="B299" s="852" t="s">
        <v>97</v>
      </c>
      <c r="C299" s="717"/>
      <c r="D299" s="717"/>
      <c r="E299" s="717"/>
      <c r="F299" s="857"/>
      <c r="G299" s="1111"/>
      <c r="H299" s="224"/>
    </row>
    <row r="300" spans="1:8" x14ac:dyDescent="0.2">
      <c r="A300" s="1551"/>
      <c r="B300" s="852" t="s">
        <v>627</v>
      </c>
      <c r="C300" s="717"/>
      <c r="D300" s="717"/>
      <c r="E300" s="717"/>
      <c r="F300" s="857"/>
      <c r="G300" s="1111"/>
      <c r="H300" s="224"/>
    </row>
    <row r="301" spans="1:8" x14ac:dyDescent="0.2">
      <c r="A301" s="1551"/>
      <c r="B301" s="852" t="s">
        <v>92</v>
      </c>
      <c r="C301" s="717"/>
      <c r="D301" s="717"/>
      <c r="E301" s="717"/>
      <c r="F301" s="857"/>
      <c r="G301" s="1111"/>
      <c r="H301" s="224"/>
    </row>
    <row r="302" spans="1:8" x14ac:dyDescent="0.2">
      <c r="A302" s="1551"/>
      <c r="B302" s="852" t="s">
        <v>93</v>
      </c>
      <c r="C302" s="732"/>
      <c r="D302" s="732"/>
      <c r="E302" s="732"/>
      <c r="F302" s="857"/>
      <c r="G302" s="1111"/>
      <c r="H302" s="224"/>
    </row>
    <row r="303" spans="1:8" x14ac:dyDescent="0.2">
      <c r="A303" s="1551"/>
      <c r="B303" s="852" t="s">
        <v>94</v>
      </c>
      <c r="C303" s="732"/>
      <c r="D303" s="732"/>
      <c r="E303" s="732"/>
      <c r="F303" s="857"/>
      <c r="G303" s="1111"/>
      <c r="H303" s="224"/>
    </row>
    <row r="304" spans="1:8" ht="13.5" thickBot="1" x14ac:dyDescent="0.25">
      <c r="A304" s="1551"/>
      <c r="B304" s="853" t="s">
        <v>103</v>
      </c>
      <c r="C304" s="734"/>
      <c r="D304" s="734"/>
      <c r="E304" s="734"/>
      <c r="F304" s="858"/>
      <c r="G304" s="1111"/>
      <c r="H304" s="224"/>
    </row>
    <row r="305" spans="1:8" ht="18.75" customHeight="1" thickBot="1" x14ac:dyDescent="0.25">
      <c r="A305" s="1551"/>
      <c r="B305" s="848" t="s">
        <v>14</v>
      </c>
      <c r="C305" s="740">
        <f>SUM(C295:C304)</f>
        <v>0</v>
      </c>
      <c r="D305" s="740">
        <f>SUM(D295:D304)</f>
        <v>0</v>
      </c>
      <c r="E305" s="740">
        <f>SUM(E295:E304)</f>
        <v>1778</v>
      </c>
      <c r="F305" s="849"/>
      <c r="G305" s="1111"/>
      <c r="H305" s="224"/>
    </row>
    <row r="306" spans="1:8" x14ac:dyDescent="0.2">
      <c r="A306" s="1550" t="s">
        <v>610</v>
      </c>
      <c r="B306" s="1160" t="s">
        <v>88</v>
      </c>
      <c r="C306" s="1154"/>
      <c r="D306" s="1154">
        <v>448126</v>
      </c>
      <c r="E306" s="1154">
        <v>432151</v>
      </c>
      <c r="F306" s="1155">
        <f>E306/D306%</f>
        <v>96.435154398539694</v>
      </c>
      <c r="G306" s="1111"/>
      <c r="H306" s="224"/>
    </row>
    <row r="307" spans="1:8" ht="25.5" x14ac:dyDescent="0.2">
      <c r="A307" s="1551"/>
      <c r="B307" s="852" t="s">
        <v>101</v>
      </c>
      <c r="C307" s="717"/>
      <c r="D307" s="717">
        <v>146968</v>
      </c>
      <c r="E307" s="717">
        <v>132585</v>
      </c>
      <c r="F307" s="1155">
        <f>E307/D307%</f>
        <v>90.213515867399707</v>
      </c>
      <c r="G307" s="1111"/>
      <c r="H307" s="224"/>
    </row>
    <row r="308" spans="1:8" x14ac:dyDescent="0.2">
      <c r="A308" s="1551"/>
      <c r="B308" s="852" t="s">
        <v>90</v>
      </c>
      <c r="C308" s="717">
        <v>2719800</v>
      </c>
      <c r="D308" s="717">
        <v>3196407</v>
      </c>
      <c r="E308" s="717">
        <v>812425</v>
      </c>
      <c r="F308" s="857">
        <f t="shared" ref="F308:F310" si="17">E308/D308*100</f>
        <v>25.416819572726503</v>
      </c>
      <c r="G308" s="1111"/>
      <c r="H308" s="224"/>
    </row>
    <row r="309" spans="1:8" x14ac:dyDescent="0.2">
      <c r="A309" s="1551"/>
      <c r="B309" s="852" t="s">
        <v>102</v>
      </c>
      <c r="C309" s="717"/>
      <c r="D309" s="717"/>
      <c r="E309" s="717"/>
      <c r="F309" s="857"/>
      <c r="G309" s="1111"/>
      <c r="H309" s="224"/>
    </row>
    <row r="310" spans="1:8" ht="25.5" x14ac:dyDescent="0.2">
      <c r="A310" s="1551"/>
      <c r="B310" s="852" t="s">
        <v>97</v>
      </c>
      <c r="C310" s="717">
        <f>1044356-352942</f>
        <v>691414</v>
      </c>
      <c r="D310" s="717">
        <f>708298-16884</f>
        <v>691414</v>
      </c>
      <c r="E310" s="717">
        <v>776122</v>
      </c>
      <c r="F310" s="857">
        <f t="shared" si="17"/>
        <v>112.25141521577522</v>
      </c>
      <c r="G310" s="1111"/>
      <c r="H310" s="224"/>
    </row>
    <row r="311" spans="1:8" x14ac:dyDescent="0.2">
      <c r="A311" s="1551"/>
      <c r="B311" s="852" t="s">
        <v>627</v>
      </c>
      <c r="C311" s="717">
        <v>352942</v>
      </c>
      <c r="D311" s="717">
        <v>16884</v>
      </c>
      <c r="E311" s="717"/>
      <c r="F311" s="857"/>
      <c r="G311" s="1111"/>
      <c r="H311" s="224"/>
    </row>
    <row r="312" spans="1:8" x14ac:dyDescent="0.2">
      <c r="A312" s="1551"/>
      <c r="B312" s="852" t="s">
        <v>92</v>
      </c>
      <c r="C312" s="717"/>
      <c r="D312" s="717"/>
      <c r="E312" s="717"/>
      <c r="F312" s="857"/>
      <c r="G312" s="1111"/>
      <c r="H312" s="224"/>
    </row>
    <row r="313" spans="1:8" x14ac:dyDescent="0.2">
      <c r="A313" s="1551"/>
      <c r="B313" s="852" t="s">
        <v>93</v>
      </c>
      <c r="C313" s="732"/>
      <c r="D313" s="732"/>
      <c r="E313" s="732"/>
      <c r="F313" s="857"/>
      <c r="G313" s="1111"/>
      <c r="H313" s="224"/>
    </row>
    <row r="314" spans="1:8" x14ac:dyDescent="0.2">
      <c r="A314" s="1551"/>
      <c r="B314" s="852" t="s">
        <v>94</v>
      </c>
      <c r="C314" s="732"/>
      <c r="D314" s="732"/>
      <c r="E314" s="732"/>
      <c r="F314" s="857"/>
      <c r="G314" s="1111"/>
      <c r="H314" s="224"/>
    </row>
    <row r="315" spans="1:8" ht="13.5" thickBot="1" x14ac:dyDescent="0.25">
      <c r="A315" s="1551"/>
      <c r="B315" s="853" t="s">
        <v>103</v>
      </c>
      <c r="C315" s="734"/>
      <c r="D315" s="734"/>
      <c r="E315" s="734"/>
      <c r="F315" s="857"/>
      <c r="G315" s="1111"/>
      <c r="H315" s="224"/>
    </row>
    <row r="316" spans="1:8" ht="13.5" thickBot="1" x14ac:dyDescent="0.25">
      <c r="A316" s="1551"/>
      <c r="B316" s="848" t="s">
        <v>14</v>
      </c>
      <c r="C316" s="1147">
        <f>SUM(C306:C315)</f>
        <v>3764156</v>
      </c>
      <c r="D316" s="1147">
        <f>SUM(D306:D315)</f>
        <v>4499799</v>
      </c>
      <c r="E316" s="1147">
        <f>SUM(E306:E315)</f>
        <v>2153283</v>
      </c>
      <c r="F316" s="985">
        <f>E316/D316*100</f>
        <v>47.852870761560681</v>
      </c>
      <c r="G316" s="1111"/>
      <c r="H316" s="224"/>
    </row>
    <row r="317" spans="1:8" x14ac:dyDescent="0.2">
      <c r="A317" s="1556" t="s">
        <v>541</v>
      </c>
      <c r="B317" s="850" t="s">
        <v>88</v>
      </c>
      <c r="C317" s="1158"/>
      <c r="D317" s="1158"/>
      <c r="E317" s="1158"/>
      <c r="F317" s="1159"/>
      <c r="G317" s="1111"/>
      <c r="H317" s="224"/>
    </row>
    <row r="318" spans="1:8" ht="25.5" x14ac:dyDescent="0.2">
      <c r="A318" s="1557"/>
      <c r="B318" s="852" t="s">
        <v>101</v>
      </c>
      <c r="C318" s="994"/>
      <c r="D318" s="994"/>
      <c r="E318" s="994"/>
      <c r="F318" s="1143"/>
      <c r="G318" s="1111"/>
      <c r="H318" s="224"/>
    </row>
    <row r="319" spans="1:8" x14ac:dyDescent="0.2">
      <c r="A319" s="1557"/>
      <c r="B319" s="852" t="s">
        <v>90</v>
      </c>
      <c r="C319" s="994">
        <v>10586695</v>
      </c>
      <c r="D319" s="994">
        <v>10586695</v>
      </c>
      <c r="E319" s="994">
        <v>9378274</v>
      </c>
      <c r="F319" s="995">
        <f>E319/D319*100</f>
        <v>88.585474503610428</v>
      </c>
      <c r="G319" s="1111"/>
      <c r="H319" s="224"/>
    </row>
    <row r="320" spans="1:8" x14ac:dyDescent="0.2">
      <c r="A320" s="1557"/>
      <c r="B320" s="852" t="s">
        <v>102</v>
      </c>
      <c r="C320" s="994"/>
      <c r="D320" s="994"/>
      <c r="E320" s="994"/>
      <c r="F320" s="1143"/>
      <c r="G320" s="1111"/>
      <c r="H320" s="224"/>
    </row>
    <row r="321" spans="1:8" ht="25.5" x14ac:dyDescent="0.2">
      <c r="A321" s="1557"/>
      <c r="B321" s="852" t="s">
        <v>97</v>
      </c>
      <c r="C321" s="994"/>
      <c r="D321" s="994"/>
      <c r="E321" s="994"/>
      <c r="F321" s="1143"/>
      <c r="G321" s="1111"/>
      <c r="H321" s="224"/>
    </row>
    <row r="322" spans="1:8" x14ac:dyDescent="0.2">
      <c r="A322" s="1557"/>
      <c r="B322" s="852" t="s">
        <v>627</v>
      </c>
      <c r="C322" s="994"/>
      <c r="D322" s="994"/>
      <c r="E322" s="994"/>
      <c r="F322" s="1143"/>
      <c r="G322" s="1111"/>
      <c r="H322" s="224"/>
    </row>
    <row r="323" spans="1:8" x14ac:dyDescent="0.2">
      <c r="A323" s="1557"/>
      <c r="B323" s="852" t="s">
        <v>92</v>
      </c>
      <c r="C323" s="994"/>
      <c r="D323" s="994"/>
      <c r="E323" s="994"/>
      <c r="F323" s="1143"/>
      <c r="G323" s="1111"/>
      <c r="H323" s="224"/>
    </row>
    <row r="324" spans="1:8" x14ac:dyDescent="0.2">
      <c r="A324" s="1557"/>
      <c r="B324" s="852" t="s">
        <v>93</v>
      </c>
      <c r="C324" s="994"/>
      <c r="D324" s="994"/>
      <c r="E324" s="994"/>
      <c r="F324" s="1143"/>
      <c r="G324" s="1111"/>
      <c r="H324" s="224"/>
    </row>
    <row r="325" spans="1:8" x14ac:dyDescent="0.2">
      <c r="A325" s="1557"/>
      <c r="B325" s="852" t="s">
        <v>94</v>
      </c>
      <c r="C325" s="994"/>
      <c r="D325" s="994"/>
      <c r="E325" s="994"/>
      <c r="F325" s="1143"/>
      <c r="G325" s="1111"/>
      <c r="H325" s="224"/>
    </row>
    <row r="326" spans="1:8" ht="13.5" thickBot="1" x14ac:dyDescent="0.25">
      <c r="A326" s="1557"/>
      <c r="B326" s="1144" t="s">
        <v>103</v>
      </c>
      <c r="C326" s="1145"/>
      <c r="D326" s="1145"/>
      <c r="E326" s="1145"/>
      <c r="F326" s="1146"/>
      <c r="G326" s="1111"/>
      <c r="H326" s="224"/>
    </row>
    <row r="327" spans="1:8" ht="13.5" thickBot="1" x14ac:dyDescent="0.25">
      <c r="A327" s="1558"/>
      <c r="B327" s="993" t="s">
        <v>14</v>
      </c>
      <c r="C327" s="996">
        <f>SUM(C317:C326)</f>
        <v>10586695</v>
      </c>
      <c r="D327" s="996">
        <f t="shared" ref="D327:E327" si="18">SUM(D317:D326)</f>
        <v>10586695</v>
      </c>
      <c r="E327" s="996">
        <f t="shared" si="18"/>
        <v>9378274</v>
      </c>
      <c r="F327" s="997">
        <f>E327/D327*100</f>
        <v>88.585474503610428</v>
      </c>
      <c r="G327" s="1111"/>
      <c r="H327" s="224"/>
    </row>
    <row r="328" spans="1:8" x14ac:dyDescent="0.2">
      <c r="A328" s="1553" t="s">
        <v>166</v>
      </c>
      <c r="B328" s="850" t="s">
        <v>88</v>
      </c>
      <c r="C328" s="844"/>
      <c r="D328" s="844"/>
      <c r="E328" s="844"/>
      <c r="F328" s="851"/>
      <c r="G328" s="1111"/>
      <c r="H328" s="224"/>
    </row>
    <row r="329" spans="1:8" ht="25.5" x14ac:dyDescent="0.2">
      <c r="A329" s="1554"/>
      <c r="B329" s="852" t="s">
        <v>101</v>
      </c>
      <c r="C329" s="717"/>
      <c r="D329" s="717"/>
      <c r="E329" s="717"/>
      <c r="F329" s="845"/>
      <c r="G329" s="1111"/>
      <c r="H329" s="224"/>
    </row>
    <row r="330" spans="1:8" x14ac:dyDescent="0.2">
      <c r="A330" s="1554"/>
      <c r="B330" s="852" t="s">
        <v>90</v>
      </c>
      <c r="C330" s="717"/>
      <c r="D330" s="717"/>
      <c r="E330" s="717"/>
      <c r="F330" s="845"/>
      <c r="G330" s="1111"/>
      <c r="H330" s="224"/>
    </row>
    <row r="331" spans="1:8" x14ac:dyDescent="0.2">
      <c r="A331" s="1554"/>
      <c r="B331" s="852" t="s">
        <v>102</v>
      </c>
      <c r="C331" s="717"/>
      <c r="D331" s="717">
        <v>52000</v>
      </c>
      <c r="E331" s="717">
        <v>52000</v>
      </c>
      <c r="F331" s="857">
        <f>E331/D331*100</f>
        <v>100</v>
      </c>
      <c r="G331" s="1111"/>
      <c r="H331" s="224"/>
    </row>
    <row r="332" spans="1:8" ht="25.5" x14ac:dyDescent="0.2">
      <c r="A332" s="1554"/>
      <c r="B332" s="852" t="s">
        <v>97</v>
      </c>
      <c r="C332" s="717"/>
      <c r="D332" s="717"/>
      <c r="E332" s="717"/>
      <c r="F332" s="845"/>
      <c r="G332" s="1111"/>
      <c r="H332" s="224"/>
    </row>
    <row r="333" spans="1:8" x14ac:dyDescent="0.2">
      <c r="A333" s="1554"/>
      <c r="B333" s="852" t="s">
        <v>627</v>
      </c>
      <c r="C333" s="717"/>
      <c r="D333" s="717"/>
      <c r="E333" s="717"/>
      <c r="F333" s="845"/>
      <c r="G333" s="1111"/>
      <c r="H333" s="224"/>
    </row>
    <row r="334" spans="1:8" x14ac:dyDescent="0.2">
      <c r="A334" s="1554"/>
      <c r="B334" s="852" t="s">
        <v>92</v>
      </c>
      <c r="C334" s="717"/>
      <c r="D334" s="717"/>
      <c r="E334" s="717"/>
      <c r="F334" s="845"/>
      <c r="G334" s="1111"/>
      <c r="H334" s="224"/>
    </row>
    <row r="335" spans="1:8" x14ac:dyDescent="0.2">
      <c r="A335" s="1554"/>
      <c r="B335" s="852" t="s">
        <v>93</v>
      </c>
      <c r="C335" s="732"/>
      <c r="D335" s="732"/>
      <c r="E335" s="732"/>
      <c r="F335" s="845"/>
      <c r="G335" s="1111"/>
      <c r="H335" s="224"/>
    </row>
    <row r="336" spans="1:8" x14ac:dyDescent="0.2">
      <c r="A336" s="1554"/>
      <c r="B336" s="852" t="s">
        <v>94</v>
      </c>
      <c r="C336" s="732"/>
      <c r="D336" s="732"/>
      <c r="E336" s="732"/>
      <c r="F336" s="845"/>
      <c r="G336" s="1111"/>
      <c r="H336" s="224"/>
    </row>
    <row r="337" spans="1:8" ht="13.5" thickBot="1" x14ac:dyDescent="0.25">
      <c r="A337" s="1554"/>
      <c r="B337" s="853" t="s">
        <v>103</v>
      </c>
      <c r="C337" s="734"/>
      <c r="D337" s="734"/>
      <c r="E337" s="734"/>
      <c r="F337" s="854"/>
      <c r="G337" s="1111"/>
      <c r="H337" s="224"/>
    </row>
    <row r="338" spans="1:8" ht="13.5" thickBot="1" x14ac:dyDescent="0.25">
      <c r="A338" s="1555"/>
      <c r="B338" s="848" t="s">
        <v>14</v>
      </c>
      <c r="C338" s="740">
        <f>SUM(C328:C337)</f>
        <v>0</v>
      </c>
      <c r="D338" s="740">
        <f>SUM(D328:D337)</f>
        <v>52000</v>
      </c>
      <c r="E338" s="740">
        <f>SUM(E328:E337)</f>
        <v>52000</v>
      </c>
      <c r="F338" s="849">
        <f>E338/D338*100</f>
        <v>100</v>
      </c>
      <c r="G338" s="1111"/>
      <c r="H338" s="224"/>
    </row>
    <row r="339" spans="1:8" x14ac:dyDescent="0.2">
      <c r="A339" s="1550" t="s">
        <v>488</v>
      </c>
      <c r="B339" s="850" t="s">
        <v>88</v>
      </c>
      <c r="C339" s="844"/>
      <c r="D339" s="844"/>
      <c r="E339" s="844"/>
      <c r="F339" s="856"/>
      <c r="G339" s="1111"/>
      <c r="H339" s="224"/>
    </row>
    <row r="340" spans="1:8" ht="25.5" x14ac:dyDescent="0.2">
      <c r="A340" s="1551"/>
      <c r="B340" s="852" t="s">
        <v>101</v>
      </c>
      <c r="C340" s="717"/>
      <c r="D340" s="717"/>
      <c r="E340" s="717"/>
      <c r="F340" s="857"/>
      <c r="G340" s="1111"/>
      <c r="H340" s="224"/>
    </row>
    <row r="341" spans="1:8" x14ac:dyDescent="0.2">
      <c r="A341" s="1551"/>
      <c r="B341" s="852" t="s">
        <v>90</v>
      </c>
      <c r="C341" s="717"/>
      <c r="D341" s="717"/>
      <c r="E341" s="717"/>
      <c r="F341" s="857"/>
      <c r="G341" s="1111"/>
      <c r="H341" s="224"/>
    </row>
    <row r="342" spans="1:8" x14ac:dyDescent="0.2">
      <c r="A342" s="1551"/>
      <c r="B342" s="852" t="s">
        <v>102</v>
      </c>
      <c r="C342" s="717">
        <v>1900000</v>
      </c>
      <c r="D342" s="717">
        <v>1900000</v>
      </c>
      <c r="E342" s="717">
        <v>1693740</v>
      </c>
      <c r="F342" s="857">
        <f>E342/D342*100</f>
        <v>89.144210526315788</v>
      </c>
      <c r="G342" s="1111"/>
      <c r="H342" s="224"/>
    </row>
    <row r="343" spans="1:8" ht="25.5" x14ac:dyDescent="0.2">
      <c r="A343" s="1551"/>
      <c r="B343" s="852" t="s">
        <v>97</v>
      </c>
      <c r="C343" s="717"/>
      <c r="D343" s="717"/>
      <c r="E343" s="717"/>
      <c r="F343" s="857"/>
      <c r="G343" s="1111"/>
      <c r="H343" s="224"/>
    </row>
    <row r="344" spans="1:8" x14ac:dyDescent="0.2">
      <c r="A344" s="1551"/>
      <c r="B344" s="852" t="s">
        <v>627</v>
      </c>
      <c r="C344" s="717"/>
      <c r="D344" s="717"/>
      <c r="E344" s="717"/>
      <c r="F344" s="857"/>
      <c r="G344" s="1111"/>
      <c r="H344" s="224"/>
    </row>
    <row r="345" spans="1:8" x14ac:dyDescent="0.2">
      <c r="A345" s="1551"/>
      <c r="B345" s="852" t="s">
        <v>92</v>
      </c>
      <c r="C345" s="717"/>
      <c r="D345" s="717"/>
      <c r="E345" s="717"/>
      <c r="F345" s="857"/>
      <c r="G345" s="1111"/>
      <c r="H345" s="224"/>
    </row>
    <row r="346" spans="1:8" x14ac:dyDescent="0.2">
      <c r="A346" s="1551"/>
      <c r="B346" s="852" t="s">
        <v>93</v>
      </c>
      <c r="C346" s="732"/>
      <c r="D346" s="732"/>
      <c r="E346" s="732"/>
      <c r="F346" s="857"/>
      <c r="G346" s="1111"/>
      <c r="H346" s="224"/>
    </row>
    <row r="347" spans="1:8" x14ac:dyDescent="0.2">
      <c r="A347" s="1551"/>
      <c r="B347" s="852" t="s">
        <v>94</v>
      </c>
      <c r="C347" s="732"/>
      <c r="D347" s="732"/>
      <c r="E347" s="732"/>
      <c r="F347" s="857"/>
      <c r="G347" s="1111"/>
      <c r="H347" s="224"/>
    </row>
    <row r="348" spans="1:8" ht="13.5" thickBot="1" x14ac:dyDescent="0.25">
      <c r="A348" s="1551"/>
      <c r="B348" s="853" t="s">
        <v>103</v>
      </c>
      <c r="C348" s="734"/>
      <c r="D348" s="734"/>
      <c r="E348" s="734"/>
      <c r="F348" s="858"/>
      <c r="G348" s="1111"/>
      <c r="H348" s="224"/>
    </row>
    <row r="349" spans="1:8" ht="13.5" thickBot="1" x14ac:dyDescent="0.25">
      <c r="A349" s="1551"/>
      <c r="B349" s="848" t="s">
        <v>14</v>
      </c>
      <c r="C349" s="740">
        <f>SUM(C339:C348)</f>
        <v>1900000</v>
      </c>
      <c r="D349" s="740">
        <f>SUM(D339:D348)</f>
        <v>1900000</v>
      </c>
      <c r="E349" s="740">
        <f>SUM(E339:E348)</f>
        <v>1693740</v>
      </c>
      <c r="F349" s="849">
        <f>E349/D349*100</f>
        <v>89.144210526315788</v>
      </c>
      <c r="G349" s="1111"/>
      <c r="H349" s="224"/>
    </row>
    <row r="350" spans="1:8" x14ac:dyDescent="0.2">
      <c r="A350" s="1550" t="s">
        <v>489</v>
      </c>
      <c r="B350" s="850" t="s">
        <v>88</v>
      </c>
      <c r="C350" s="867"/>
      <c r="D350" s="867"/>
      <c r="E350" s="867"/>
      <c r="F350" s="856"/>
      <c r="G350" s="1111"/>
      <c r="H350" s="224"/>
    </row>
    <row r="351" spans="1:8" ht="25.5" x14ac:dyDescent="0.2">
      <c r="A351" s="1551"/>
      <c r="B351" s="852" t="s">
        <v>101</v>
      </c>
      <c r="C351" s="868"/>
      <c r="D351" s="868"/>
      <c r="E351" s="868"/>
      <c r="F351" s="857"/>
      <c r="G351" s="1111"/>
      <c r="H351" s="224"/>
    </row>
    <row r="352" spans="1:8" x14ac:dyDescent="0.2">
      <c r="A352" s="1551"/>
      <c r="B352" s="852" t="s">
        <v>90</v>
      </c>
      <c r="C352" s="868">
        <v>2175000</v>
      </c>
      <c r="D352" s="868">
        <v>635000</v>
      </c>
      <c r="E352" s="868">
        <v>375455</v>
      </c>
      <c r="F352" s="857">
        <f>E352/D352*100</f>
        <v>59.126771653543308</v>
      </c>
      <c r="G352" s="1111"/>
      <c r="H352" s="224"/>
    </row>
    <row r="353" spans="1:8" x14ac:dyDescent="0.2">
      <c r="A353" s="1551"/>
      <c r="B353" s="852" t="s">
        <v>102</v>
      </c>
      <c r="C353" s="868"/>
      <c r="D353" s="868"/>
      <c r="E353" s="868"/>
      <c r="F353" s="857"/>
      <c r="G353" s="1111"/>
      <c r="H353" s="224"/>
    </row>
    <row r="354" spans="1:8" ht="25.5" x14ac:dyDescent="0.2">
      <c r="A354" s="1551"/>
      <c r="B354" s="852" t="s">
        <v>97</v>
      </c>
      <c r="C354" s="868">
        <v>3705397</v>
      </c>
      <c r="D354" s="868">
        <v>15729681</v>
      </c>
      <c r="E354" s="868">
        <v>17402412</v>
      </c>
      <c r="F354" s="857">
        <f>E354/D354*100</f>
        <v>110.63423345966139</v>
      </c>
      <c r="G354" s="1111"/>
      <c r="H354" s="224"/>
    </row>
    <row r="355" spans="1:8" x14ac:dyDescent="0.2">
      <c r="A355" s="1551"/>
      <c r="B355" s="852" t="s">
        <v>627</v>
      </c>
      <c r="C355" s="868"/>
      <c r="D355" s="868"/>
      <c r="E355" s="868"/>
      <c r="F355" s="857"/>
      <c r="G355" s="1111"/>
      <c r="H355" s="224"/>
    </row>
    <row r="356" spans="1:8" x14ac:dyDescent="0.2">
      <c r="A356" s="1551"/>
      <c r="B356" s="852" t="s">
        <v>92</v>
      </c>
      <c r="C356" s="868"/>
      <c r="D356" s="868"/>
      <c r="E356" s="868"/>
      <c r="F356" s="857"/>
      <c r="G356" s="1111"/>
      <c r="H356" s="224"/>
    </row>
    <row r="357" spans="1:8" x14ac:dyDescent="0.2">
      <c r="A357" s="1551"/>
      <c r="B357" s="852" t="s">
        <v>93</v>
      </c>
      <c r="C357" s="836"/>
      <c r="D357" s="868"/>
      <c r="E357" s="868"/>
      <c r="F357" s="857"/>
      <c r="G357" s="1111"/>
      <c r="H357" s="224"/>
    </row>
    <row r="358" spans="1:8" x14ac:dyDescent="0.2">
      <c r="A358" s="1551"/>
      <c r="B358" s="852" t="s">
        <v>94</v>
      </c>
      <c r="C358" s="836"/>
      <c r="D358" s="868"/>
      <c r="E358" s="836"/>
      <c r="F358" s="857"/>
      <c r="G358" s="1111"/>
      <c r="H358" s="224"/>
    </row>
    <row r="359" spans="1:8" ht="13.5" thickBot="1" x14ac:dyDescent="0.25">
      <c r="A359" s="1551"/>
      <c r="B359" s="853" t="s">
        <v>103</v>
      </c>
      <c r="C359" s="837"/>
      <c r="D359" s="837"/>
      <c r="E359" s="837"/>
      <c r="F359" s="858"/>
      <c r="G359" s="1111"/>
      <c r="H359" s="224"/>
    </row>
    <row r="360" spans="1:8" ht="13.5" thickBot="1" x14ac:dyDescent="0.25">
      <c r="A360" s="1551"/>
      <c r="B360" s="848" t="s">
        <v>14</v>
      </c>
      <c r="C360" s="740">
        <f>SUM(C350:C359)</f>
        <v>5880397</v>
      </c>
      <c r="D360" s="740">
        <f>SUM(D350:D359)</f>
        <v>16364681</v>
      </c>
      <c r="E360" s="740">
        <f>SUM(E350:E359)</f>
        <v>17777867</v>
      </c>
      <c r="F360" s="849">
        <f>E360/D360*100</f>
        <v>108.63558538049108</v>
      </c>
      <c r="G360" s="1111"/>
      <c r="H360" s="224"/>
    </row>
    <row r="361" spans="1:8" ht="13.5" thickBot="1" x14ac:dyDescent="0.25">
      <c r="A361" s="860" t="s">
        <v>73</v>
      </c>
      <c r="B361" s="861" t="s">
        <v>24</v>
      </c>
      <c r="C361" s="862" t="s">
        <v>155</v>
      </c>
      <c r="D361" s="862" t="s">
        <v>148</v>
      </c>
      <c r="E361" s="862" t="s">
        <v>149</v>
      </c>
      <c r="F361" s="863" t="s">
        <v>150</v>
      </c>
      <c r="G361" s="1111"/>
      <c r="H361" s="224"/>
    </row>
    <row r="362" spans="1:8" x14ac:dyDescent="0.2">
      <c r="A362" s="1550" t="s">
        <v>490</v>
      </c>
      <c r="B362" s="850" t="s">
        <v>88</v>
      </c>
      <c r="C362" s="844"/>
      <c r="D362" s="844"/>
      <c r="E362" s="844"/>
      <c r="F362" s="856"/>
      <c r="G362" s="1111"/>
      <c r="H362" s="224"/>
    </row>
    <row r="363" spans="1:8" ht="25.5" x14ac:dyDescent="0.2">
      <c r="A363" s="1551"/>
      <c r="B363" s="852" t="s">
        <v>101</v>
      </c>
      <c r="C363" s="717"/>
      <c r="D363" s="717"/>
      <c r="E363" s="717"/>
      <c r="F363" s="857"/>
      <c r="G363" s="1111"/>
      <c r="H363" s="224"/>
    </row>
    <row r="364" spans="1:8" x14ac:dyDescent="0.2">
      <c r="A364" s="1551"/>
      <c r="B364" s="852" t="s">
        <v>90</v>
      </c>
      <c r="C364" s="717">
        <v>5118000</v>
      </c>
      <c r="D364" s="717">
        <v>5118000</v>
      </c>
      <c r="E364" s="717">
        <v>4837500</v>
      </c>
      <c r="F364" s="857">
        <f>E364/D364*100</f>
        <v>94.519343493552171</v>
      </c>
      <c r="G364" s="1111"/>
      <c r="H364" s="224"/>
    </row>
    <row r="365" spans="1:8" x14ac:dyDescent="0.2">
      <c r="A365" s="1551"/>
      <c r="B365" s="852" t="s">
        <v>102</v>
      </c>
      <c r="C365" s="717">
        <v>33063165</v>
      </c>
      <c r="D365" s="717">
        <v>8263165</v>
      </c>
      <c r="E365" s="717">
        <v>7761403</v>
      </c>
      <c r="F365" s="857">
        <f>E365/D365*100</f>
        <v>93.927726240490173</v>
      </c>
      <c r="G365" s="1111"/>
      <c r="H365" s="224"/>
    </row>
    <row r="366" spans="1:8" ht="25.5" x14ac:dyDescent="0.2">
      <c r="A366" s="1551"/>
      <c r="B366" s="852" t="s">
        <v>97</v>
      </c>
      <c r="C366" s="717">
        <v>400000</v>
      </c>
      <c r="D366" s="717">
        <v>4946000</v>
      </c>
      <c r="E366" s="717">
        <v>4946000</v>
      </c>
      <c r="F366" s="857">
        <f>E366/D366*100</f>
        <v>100</v>
      </c>
      <c r="G366" s="1111"/>
      <c r="H366" s="224"/>
    </row>
    <row r="367" spans="1:8" x14ac:dyDescent="0.2">
      <c r="A367" s="1551"/>
      <c r="B367" s="852" t="s">
        <v>627</v>
      </c>
      <c r="C367" s="717"/>
      <c r="D367" s="717"/>
      <c r="E367" s="717"/>
      <c r="F367" s="857"/>
      <c r="G367" s="1111"/>
      <c r="H367" s="224"/>
    </row>
    <row r="368" spans="1:8" x14ac:dyDescent="0.2">
      <c r="A368" s="1551"/>
      <c r="B368" s="852" t="s">
        <v>92</v>
      </c>
      <c r="C368" s="717"/>
      <c r="D368" s="717"/>
      <c r="E368" s="717"/>
      <c r="F368" s="857"/>
      <c r="G368" s="1111"/>
      <c r="H368" s="224"/>
    </row>
    <row r="369" spans="1:8" x14ac:dyDescent="0.2">
      <c r="A369" s="1551"/>
      <c r="B369" s="852" t="s">
        <v>93</v>
      </c>
      <c r="C369" s="732"/>
      <c r="D369" s="732"/>
      <c r="E369" s="732"/>
      <c r="F369" s="857"/>
      <c r="G369" s="1111"/>
      <c r="H369" s="224"/>
    </row>
    <row r="370" spans="1:8" x14ac:dyDescent="0.2">
      <c r="A370" s="1551"/>
      <c r="B370" s="852" t="s">
        <v>94</v>
      </c>
      <c r="C370" s="732"/>
      <c r="D370" s="732"/>
      <c r="E370" s="732"/>
      <c r="F370" s="857"/>
      <c r="G370" s="1111"/>
      <c r="H370" s="224"/>
    </row>
    <row r="371" spans="1:8" ht="13.5" thickBot="1" x14ac:dyDescent="0.25">
      <c r="A371" s="1551"/>
      <c r="B371" s="853" t="s">
        <v>103</v>
      </c>
      <c r="C371" s="734"/>
      <c r="D371" s="734"/>
      <c r="E371" s="734"/>
      <c r="F371" s="858"/>
      <c r="G371" s="1111"/>
      <c r="H371" s="224"/>
    </row>
    <row r="372" spans="1:8" ht="13.5" thickBot="1" x14ac:dyDescent="0.25">
      <c r="A372" s="1551"/>
      <c r="B372" s="848" t="s">
        <v>14</v>
      </c>
      <c r="C372" s="740">
        <f>SUM(C362:C371)</f>
        <v>38581165</v>
      </c>
      <c r="D372" s="740">
        <f>SUM(D362:D371)</f>
        <v>18327165</v>
      </c>
      <c r="E372" s="740">
        <f>SUM(E362:E371)</f>
        <v>17544903</v>
      </c>
      <c r="F372" s="849">
        <f>E372/D372*100</f>
        <v>95.731680268061098</v>
      </c>
      <c r="G372" s="1111"/>
      <c r="H372" s="224"/>
    </row>
    <row r="373" spans="1:8" x14ac:dyDescent="0.2">
      <c r="A373" s="1550" t="s">
        <v>612</v>
      </c>
      <c r="B373" s="850" t="s">
        <v>88</v>
      </c>
      <c r="C373" s="844"/>
      <c r="D373" s="844">
        <v>2615100</v>
      </c>
      <c r="E373" s="844">
        <v>1462500</v>
      </c>
      <c r="F373" s="857">
        <f t="shared" ref="F373:F374" si="19">E373/D373*100</f>
        <v>55.92520362510038</v>
      </c>
      <c r="G373" s="1111"/>
      <c r="H373" s="224"/>
    </row>
    <row r="374" spans="1:8" ht="25.5" x14ac:dyDescent="0.2">
      <c r="A374" s="1551"/>
      <c r="B374" s="852" t="s">
        <v>101</v>
      </c>
      <c r="C374" s="717"/>
      <c r="D374" s="717">
        <v>409496</v>
      </c>
      <c r="E374" s="717">
        <v>255935</v>
      </c>
      <c r="F374" s="857">
        <f t="shared" si="19"/>
        <v>62.5</v>
      </c>
      <c r="G374" s="1111"/>
      <c r="H374" s="224"/>
    </row>
    <row r="375" spans="1:8" x14ac:dyDescent="0.2">
      <c r="A375" s="1551"/>
      <c r="B375" s="852" t="s">
        <v>90</v>
      </c>
      <c r="C375" s="717"/>
      <c r="D375" s="717">
        <v>18699059</v>
      </c>
      <c r="E375" s="717"/>
      <c r="F375" s="857"/>
      <c r="G375" s="1111"/>
      <c r="H375" s="224"/>
    </row>
    <row r="376" spans="1:8" x14ac:dyDescent="0.2">
      <c r="A376" s="1551"/>
      <c r="B376" s="852" t="s">
        <v>102</v>
      </c>
      <c r="C376" s="717"/>
      <c r="D376" s="717"/>
      <c r="E376" s="717"/>
      <c r="F376" s="845"/>
      <c r="G376" s="1111"/>
      <c r="H376" s="224"/>
    </row>
    <row r="377" spans="1:8" ht="25.5" x14ac:dyDescent="0.2">
      <c r="A377" s="1551"/>
      <c r="B377" s="852" t="s">
        <v>97</v>
      </c>
      <c r="C377" s="717"/>
      <c r="D377" s="717"/>
      <c r="E377" s="717"/>
      <c r="F377" s="845"/>
      <c r="G377" s="1111"/>
      <c r="H377" s="224"/>
    </row>
    <row r="378" spans="1:8" x14ac:dyDescent="0.2">
      <c r="A378" s="1551"/>
      <c r="B378" s="852" t="s">
        <v>627</v>
      </c>
      <c r="C378" s="717"/>
      <c r="D378" s="717"/>
      <c r="E378" s="717"/>
      <c r="F378" s="845"/>
      <c r="G378" s="1111"/>
      <c r="H378" s="224"/>
    </row>
    <row r="379" spans="1:8" x14ac:dyDescent="0.2">
      <c r="A379" s="1551"/>
      <c r="B379" s="852" t="s">
        <v>92</v>
      </c>
      <c r="C379" s="717"/>
      <c r="D379" s="717">
        <v>1391687</v>
      </c>
      <c r="E379" s="717"/>
      <c r="F379" s="845"/>
      <c r="G379" s="1111"/>
      <c r="H379" s="224"/>
    </row>
    <row r="380" spans="1:8" x14ac:dyDescent="0.2">
      <c r="A380" s="1551"/>
      <c r="B380" s="852" t="s">
        <v>93</v>
      </c>
      <c r="C380" s="732"/>
      <c r="D380" s="732">
        <v>1391687</v>
      </c>
      <c r="E380" s="732"/>
      <c r="F380" s="845"/>
      <c r="G380" s="1111"/>
      <c r="H380" s="224"/>
    </row>
    <row r="381" spans="1:8" x14ac:dyDescent="0.2">
      <c r="A381" s="1551"/>
      <c r="B381" s="852" t="s">
        <v>94</v>
      </c>
      <c r="C381" s="732"/>
      <c r="D381" s="732"/>
      <c r="E381" s="732"/>
      <c r="F381" s="845"/>
      <c r="G381" s="1111"/>
      <c r="H381" s="224"/>
    </row>
    <row r="382" spans="1:8" ht="13.5" thickBot="1" x14ac:dyDescent="0.25">
      <c r="A382" s="1551"/>
      <c r="B382" s="853" t="s">
        <v>103</v>
      </c>
      <c r="C382" s="734"/>
      <c r="D382" s="734"/>
      <c r="E382" s="734"/>
      <c r="F382" s="854"/>
      <c r="G382" s="1111"/>
      <c r="H382" s="224"/>
    </row>
    <row r="383" spans="1:8" ht="13.5" thickBot="1" x14ac:dyDescent="0.25">
      <c r="A383" s="1551"/>
      <c r="B383" s="848" t="s">
        <v>14</v>
      </c>
      <c r="C383" s="740">
        <f>SUM(C373:C382)</f>
        <v>0</v>
      </c>
      <c r="D383" s="740">
        <f>SUM(D373:D382)</f>
        <v>24507029</v>
      </c>
      <c r="E383" s="740">
        <f>SUM(E373:E382)</f>
        <v>1718435</v>
      </c>
      <c r="F383" s="849">
        <f>E383/D383*100</f>
        <v>7.0120086771840038</v>
      </c>
      <c r="G383" s="1111"/>
      <c r="H383" s="224"/>
    </row>
    <row r="384" spans="1:8" x14ac:dyDescent="0.2">
      <c r="A384" s="1550" t="s">
        <v>631</v>
      </c>
      <c r="B384" s="850" t="s">
        <v>88</v>
      </c>
      <c r="C384" s="844"/>
      <c r="D384" s="844">
        <v>86393</v>
      </c>
      <c r="E384" s="844">
        <v>43193</v>
      </c>
      <c r="F384" s="857">
        <f t="shared" ref="F384:F385" si="20">E384/D384*100</f>
        <v>49.995948745847464</v>
      </c>
      <c r="G384" s="1111"/>
      <c r="H384" s="224"/>
    </row>
    <row r="385" spans="1:8" ht="25.5" x14ac:dyDescent="0.2">
      <c r="A385" s="1551"/>
      <c r="B385" s="852" t="s">
        <v>101</v>
      </c>
      <c r="C385" s="717"/>
      <c r="D385" s="717">
        <v>13607</v>
      </c>
      <c r="E385" s="717">
        <v>6803</v>
      </c>
      <c r="F385" s="857">
        <f t="shared" si="20"/>
        <v>49.996325420739325</v>
      </c>
      <c r="G385" s="1111"/>
      <c r="H385" s="224"/>
    </row>
    <row r="386" spans="1:8" x14ac:dyDescent="0.2">
      <c r="A386" s="1551"/>
      <c r="B386" s="852" t="s">
        <v>90</v>
      </c>
      <c r="C386" s="717"/>
      <c r="D386" s="717">
        <v>508000</v>
      </c>
      <c r="E386" s="717">
        <v>508010</v>
      </c>
      <c r="F386" s="857">
        <f>E386/D386*100</f>
        <v>100.00196850393701</v>
      </c>
      <c r="G386" s="1111"/>
      <c r="H386" s="224"/>
    </row>
    <row r="387" spans="1:8" x14ac:dyDescent="0.2">
      <c r="A387" s="1551"/>
      <c r="B387" s="852" t="s">
        <v>102</v>
      </c>
      <c r="C387" s="717"/>
      <c r="D387" s="717"/>
      <c r="E387" s="717"/>
      <c r="F387" s="845"/>
      <c r="G387" s="1111"/>
      <c r="H387" s="224"/>
    </row>
    <row r="388" spans="1:8" ht="25.5" x14ac:dyDescent="0.2">
      <c r="A388" s="1551"/>
      <c r="B388" s="852" t="s">
        <v>97</v>
      </c>
      <c r="C388" s="717"/>
      <c r="D388" s="717"/>
      <c r="E388" s="717"/>
      <c r="F388" s="845"/>
      <c r="G388" s="1111"/>
      <c r="H388" s="224"/>
    </row>
    <row r="389" spans="1:8" x14ac:dyDescent="0.2">
      <c r="A389" s="1551"/>
      <c r="B389" s="852" t="s">
        <v>627</v>
      </c>
      <c r="C389" s="717"/>
      <c r="D389" s="717"/>
      <c r="E389" s="717"/>
      <c r="F389" s="845"/>
      <c r="G389" s="1111"/>
      <c r="H389" s="224"/>
    </row>
    <row r="390" spans="1:8" x14ac:dyDescent="0.2">
      <c r="A390" s="1551"/>
      <c r="B390" s="852" t="s">
        <v>92</v>
      </c>
      <c r="C390" s="717"/>
      <c r="D390" s="717"/>
      <c r="E390" s="717"/>
      <c r="F390" s="845"/>
      <c r="G390" s="1111"/>
      <c r="H390" s="224"/>
    </row>
    <row r="391" spans="1:8" x14ac:dyDescent="0.2">
      <c r="A391" s="1551"/>
      <c r="B391" s="852" t="s">
        <v>93</v>
      </c>
      <c r="C391" s="732"/>
      <c r="D391" s="732"/>
      <c r="E391" s="732"/>
      <c r="F391" s="845"/>
      <c r="G391" s="1111"/>
      <c r="H391" s="224"/>
    </row>
    <row r="392" spans="1:8" x14ac:dyDescent="0.2">
      <c r="A392" s="1551"/>
      <c r="B392" s="852" t="s">
        <v>94</v>
      </c>
      <c r="C392" s="732"/>
      <c r="D392" s="732"/>
      <c r="E392" s="732"/>
      <c r="F392" s="845"/>
      <c r="G392" s="1111"/>
      <c r="H392" s="224"/>
    </row>
    <row r="393" spans="1:8" ht="13.5" thickBot="1" x14ac:dyDescent="0.25">
      <c r="A393" s="1551"/>
      <c r="B393" s="853" t="s">
        <v>103</v>
      </c>
      <c r="C393" s="734"/>
      <c r="D393" s="734"/>
      <c r="E393" s="734"/>
      <c r="F393" s="854"/>
      <c r="G393" s="1111"/>
      <c r="H393" s="224"/>
    </row>
    <row r="394" spans="1:8" ht="13.5" thickBot="1" x14ac:dyDescent="0.25">
      <c r="A394" s="1551"/>
      <c r="B394" s="848" t="s">
        <v>14</v>
      </c>
      <c r="C394" s="740">
        <f>SUM(C384:C393)</f>
        <v>0</v>
      </c>
      <c r="D394" s="740">
        <f>SUM(D384:D393)</f>
        <v>608000</v>
      </c>
      <c r="E394" s="740">
        <f>SUM(E384:E393)</f>
        <v>558006</v>
      </c>
      <c r="F394" s="849">
        <f>E394/D394*100</f>
        <v>91.777302631578948</v>
      </c>
      <c r="G394" s="1111"/>
      <c r="H394" s="224"/>
    </row>
    <row r="395" spans="1:8" x14ac:dyDescent="0.2">
      <c r="A395" s="1550" t="s">
        <v>491</v>
      </c>
      <c r="B395" s="850" t="s">
        <v>88</v>
      </c>
      <c r="C395" s="844"/>
      <c r="D395" s="844"/>
      <c r="E395" s="844"/>
      <c r="F395" s="851"/>
      <c r="G395" s="1111"/>
      <c r="H395" s="224"/>
    </row>
    <row r="396" spans="1:8" ht="25.5" x14ac:dyDescent="0.2">
      <c r="A396" s="1551"/>
      <c r="B396" s="852" t="s">
        <v>101</v>
      </c>
      <c r="C396" s="717"/>
      <c r="D396" s="717"/>
      <c r="E396" s="717"/>
      <c r="F396" s="845"/>
      <c r="G396" s="1111"/>
      <c r="H396" s="224"/>
    </row>
    <row r="397" spans="1:8" x14ac:dyDescent="0.2">
      <c r="A397" s="1551"/>
      <c r="B397" s="852" t="s">
        <v>90</v>
      </c>
      <c r="C397" s="717">
        <v>4500000</v>
      </c>
      <c r="D397" s="717"/>
      <c r="E397" s="717"/>
      <c r="F397" s="857"/>
      <c r="G397" s="1111"/>
      <c r="H397" s="224"/>
    </row>
    <row r="398" spans="1:8" x14ac:dyDescent="0.2">
      <c r="A398" s="1551"/>
      <c r="B398" s="852" t="s">
        <v>102</v>
      </c>
      <c r="C398" s="717"/>
      <c r="D398" s="717"/>
      <c r="E398" s="717"/>
      <c r="F398" s="845"/>
      <c r="G398" s="1111"/>
      <c r="H398" s="224"/>
    </row>
    <row r="399" spans="1:8" ht="25.5" x14ac:dyDescent="0.2">
      <c r="A399" s="1551"/>
      <c r="B399" s="852" t="s">
        <v>97</v>
      </c>
      <c r="C399" s="717"/>
      <c r="D399" s="717"/>
      <c r="E399" s="717"/>
      <c r="F399" s="845"/>
      <c r="G399" s="1111"/>
      <c r="H399" s="224"/>
    </row>
    <row r="400" spans="1:8" x14ac:dyDescent="0.2">
      <c r="A400" s="1551"/>
      <c r="B400" s="852" t="s">
        <v>627</v>
      </c>
      <c r="C400" s="717"/>
      <c r="D400" s="717"/>
      <c r="E400" s="717"/>
      <c r="F400" s="845"/>
      <c r="G400" s="1111"/>
      <c r="H400" s="224"/>
    </row>
    <row r="401" spans="1:8" x14ac:dyDescent="0.2">
      <c r="A401" s="1551"/>
      <c r="B401" s="852" t="s">
        <v>92</v>
      </c>
      <c r="C401" s="717"/>
      <c r="D401" s="717"/>
      <c r="E401" s="717"/>
      <c r="F401" s="845"/>
      <c r="G401" s="1111"/>
      <c r="H401" s="224"/>
    </row>
    <row r="402" spans="1:8" x14ac:dyDescent="0.2">
      <c r="A402" s="1551"/>
      <c r="B402" s="852" t="s">
        <v>93</v>
      </c>
      <c r="C402" s="732"/>
      <c r="D402" s="732"/>
      <c r="E402" s="732"/>
      <c r="F402" s="845"/>
      <c r="G402" s="1111"/>
      <c r="H402" s="224"/>
    </row>
    <row r="403" spans="1:8" x14ac:dyDescent="0.2">
      <c r="A403" s="1551"/>
      <c r="B403" s="852" t="s">
        <v>94</v>
      </c>
      <c r="C403" s="732"/>
      <c r="D403" s="732"/>
      <c r="E403" s="732"/>
      <c r="F403" s="845"/>
      <c r="G403" s="1111"/>
      <c r="H403" s="224"/>
    </row>
    <row r="404" spans="1:8" ht="13.5" thickBot="1" x14ac:dyDescent="0.25">
      <c r="A404" s="1551"/>
      <c r="B404" s="853" t="s">
        <v>103</v>
      </c>
      <c r="C404" s="734"/>
      <c r="D404" s="734"/>
      <c r="E404" s="734"/>
      <c r="F404" s="854"/>
      <c r="G404" s="1111"/>
      <c r="H404" s="224"/>
    </row>
    <row r="405" spans="1:8" ht="13.5" thickBot="1" x14ac:dyDescent="0.25">
      <c r="A405" s="1551"/>
      <c r="B405" s="848" t="s">
        <v>14</v>
      </c>
      <c r="C405" s="740">
        <f>SUM(C395:C404)</f>
        <v>4500000</v>
      </c>
      <c r="D405" s="740">
        <f>SUM(D395:D404)</f>
        <v>0</v>
      </c>
      <c r="E405" s="740">
        <f>SUM(E395:E404)</f>
        <v>0</v>
      </c>
      <c r="F405" s="849"/>
      <c r="G405" s="1111"/>
      <c r="H405" s="224"/>
    </row>
    <row r="406" spans="1:8" x14ac:dyDescent="0.2">
      <c r="A406" s="1550" t="s">
        <v>76</v>
      </c>
      <c r="B406" s="850" t="s">
        <v>88</v>
      </c>
      <c r="C406" s="844"/>
      <c r="D406" s="844"/>
      <c r="E406" s="844"/>
      <c r="F406" s="856"/>
      <c r="G406" s="1111"/>
      <c r="H406" s="224"/>
    </row>
    <row r="407" spans="1:8" ht="25.5" x14ac:dyDescent="0.2">
      <c r="A407" s="1551"/>
      <c r="B407" s="852" t="s">
        <v>101</v>
      </c>
      <c r="C407" s="717"/>
      <c r="D407" s="717"/>
      <c r="E407" s="717"/>
      <c r="F407" s="857"/>
      <c r="G407" s="1111"/>
      <c r="H407" s="224"/>
    </row>
    <row r="408" spans="1:8" x14ac:dyDescent="0.2">
      <c r="A408" s="1551"/>
      <c r="B408" s="852" t="s">
        <v>90</v>
      </c>
      <c r="C408" s="717">
        <v>3843904</v>
      </c>
      <c r="D408" s="717">
        <v>3843904</v>
      </c>
      <c r="E408" s="717">
        <v>2848485</v>
      </c>
      <c r="F408" s="857">
        <f>E408/D408*100</f>
        <v>74.103957851184632</v>
      </c>
      <c r="G408" s="1111"/>
      <c r="H408" s="224"/>
    </row>
    <row r="409" spans="1:8" x14ac:dyDescent="0.2">
      <c r="A409" s="1551"/>
      <c r="B409" s="852" t="s">
        <v>102</v>
      </c>
      <c r="C409" s="717"/>
      <c r="D409" s="717"/>
      <c r="E409" s="717"/>
      <c r="F409" s="857"/>
      <c r="G409" s="1111"/>
      <c r="H409" s="224"/>
    </row>
    <row r="410" spans="1:8" ht="25.5" x14ac:dyDescent="0.2">
      <c r="A410" s="1551"/>
      <c r="B410" s="852" t="s">
        <v>97</v>
      </c>
      <c r="C410" s="717"/>
      <c r="D410" s="717"/>
      <c r="E410" s="717"/>
      <c r="F410" s="857"/>
      <c r="G410" s="1111"/>
      <c r="H410" s="224"/>
    </row>
    <row r="411" spans="1:8" x14ac:dyDescent="0.2">
      <c r="A411" s="1551"/>
      <c r="B411" s="852" t="s">
        <v>627</v>
      </c>
      <c r="C411" s="717"/>
      <c r="D411" s="717"/>
      <c r="E411" s="717"/>
      <c r="F411" s="857"/>
      <c r="G411" s="1111"/>
      <c r="H411" s="224"/>
    </row>
    <row r="412" spans="1:8" x14ac:dyDescent="0.2">
      <c r="A412" s="1551"/>
      <c r="B412" s="852" t="s">
        <v>92</v>
      </c>
      <c r="C412" s="717"/>
      <c r="D412" s="717"/>
      <c r="E412" s="717"/>
      <c r="F412" s="857"/>
      <c r="G412" s="1111"/>
      <c r="H412" s="224"/>
    </row>
    <row r="413" spans="1:8" x14ac:dyDescent="0.2">
      <c r="A413" s="1551"/>
      <c r="B413" s="852" t="s">
        <v>93</v>
      </c>
      <c r="C413" s="732"/>
      <c r="D413" s="732"/>
      <c r="E413" s="732"/>
      <c r="F413" s="857"/>
      <c r="G413" s="1111"/>
      <c r="H413" s="224"/>
    </row>
    <row r="414" spans="1:8" x14ac:dyDescent="0.2">
      <c r="A414" s="1551"/>
      <c r="B414" s="852" t="s">
        <v>94</v>
      </c>
      <c r="C414" s="732"/>
      <c r="D414" s="732"/>
      <c r="E414" s="732"/>
      <c r="F414" s="857"/>
      <c r="G414" s="1111"/>
      <c r="H414" s="224"/>
    </row>
    <row r="415" spans="1:8" ht="13.5" thickBot="1" x14ac:dyDescent="0.25">
      <c r="A415" s="1551"/>
      <c r="B415" s="853" t="s">
        <v>103</v>
      </c>
      <c r="C415" s="734">
        <v>10449365</v>
      </c>
      <c r="D415" s="734">
        <v>10449365</v>
      </c>
      <c r="E415" s="734">
        <v>10449365</v>
      </c>
      <c r="F415" s="857">
        <f t="shared" ref="F415" si="21">E415/D415*100</f>
        <v>100</v>
      </c>
      <c r="G415" s="1111"/>
      <c r="H415" s="224"/>
    </row>
    <row r="416" spans="1:8" ht="13.5" thickBot="1" x14ac:dyDescent="0.25">
      <c r="A416" s="1551"/>
      <c r="B416" s="848" t="s">
        <v>14</v>
      </c>
      <c r="C416" s="740">
        <f>SUM(C406:C415)</f>
        <v>14293269</v>
      </c>
      <c r="D416" s="740">
        <f>SUM(D406:D415)</f>
        <v>14293269</v>
      </c>
      <c r="E416" s="740">
        <f>SUM(E406:E415)</f>
        <v>13297850</v>
      </c>
      <c r="F416" s="849">
        <f>E416/D416*100</f>
        <v>93.035749904378065</v>
      </c>
      <c r="G416" s="1111"/>
      <c r="H416" s="224"/>
    </row>
    <row r="417" spans="1:8" ht="13.5" thickBot="1" x14ac:dyDescent="0.25">
      <c r="A417" s="1553" t="s">
        <v>11</v>
      </c>
      <c r="B417" s="1148" t="s">
        <v>88</v>
      </c>
      <c r="C417" s="1151">
        <f t="shared" ref="C417:E426" si="22">SUM(C406+C395+C362+C350+C339+C328+C317+C306+C295+C272+C261+C250+C228+C217+C205+C194+C183+C172+C149+C138+C127+C105+C94+C83+C71+C60+C49+C38+C27+C16+C5+C116)+C384+C373+C284+C239+C161</f>
        <v>87446599</v>
      </c>
      <c r="D417" s="1151">
        <f t="shared" si="22"/>
        <v>430850262</v>
      </c>
      <c r="E417" s="1151">
        <f t="shared" si="22"/>
        <v>362337485</v>
      </c>
      <c r="F417" s="992">
        <f>E417/D417*100</f>
        <v>84.098239448209966</v>
      </c>
      <c r="G417" s="224"/>
      <c r="H417" s="224"/>
    </row>
    <row r="418" spans="1:8" ht="26.25" thickBot="1" x14ac:dyDescent="0.25">
      <c r="A418" s="1554"/>
      <c r="B418" s="1149" t="s">
        <v>101</v>
      </c>
      <c r="C418" s="1151">
        <f t="shared" si="22"/>
        <v>11319561</v>
      </c>
      <c r="D418" s="1151">
        <f t="shared" si="22"/>
        <v>44621230</v>
      </c>
      <c r="E418" s="1151">
        <f t="shared" si="22"/>
        <v>39577509</v>
      </c>
      <c r="F418" s="1161">
        <f t="shared" ref="F418:F427" si="23">E418/D418*100</f>
        <v>88.696589045169745</v>
      </c>
      <c r="G418" s="224"/>
      <c r="H418" s="224"/>
    </row>
    <row r="419" spans="1:8" ht="13.5" thickBot="1" x14ac:dyDescent="0.25">
      <c r="A419" s="1554"/>
      <c r="B419" s="1149" t="s">
        <v>90</v>
      </c>
      <c r="C419" s="1151">
        <f t="shared" si="22"/>
        <v>163099883</v>
      </c>
      <c r="D419" s="1151">
        <f t="shared" si="22"/>
        <v>799360711</v>
      </c>
      <c r="E419" s="1151">
        <f t="shared" si="22"/>
        <v>384701110</v>
      </c>
      <c r="F419" s="992">
        <f t="shared" si="23"/>
        <v>48.126096855415753</v>
      </c>
      <c r="G419" s="224"/>
      <c r="H419" s="224"/>
    </row>
    <row r="420" spans="1:8" ht="19.5" customHeight="1" thickBot="1" x14ac:dyDescent="0.25">
      <c r="A420" s="1554"/>
      <c r="B420" s="1149" t="s">
        <v>102</v>
      </c>
      <c r="C420" s="1151">
        <f t="shared" si="22"/>
        <v>34963165</v>
      </c>
      <c r="D420" s="1151">
        <f t="shared" si="22"/>
        <v>10215165</v>
      </c>
      <c r="E420" s="1151">
        <f t="shared" si="22"/>
        <v>9507143</v>
      </c>
      <c r="F420" s="1161">
        <f t="shared" si="23"/>
        <v>93.068912739050219</v>
      </c>
      <c r="G420" s="224"/>
      <c r="H420" s="224"/>
    </row>
    <row r="421" spans="1:8" ht="26.25" thickBot="1" x14ac:dyDescent="0.25">
      <c r="A421" s="1554"/>
      <c r="B421" s="1149" t="s">
        <v>97</v>
      </c>
      <c r="C421" s="1151">
        <f t="shared" si="22"/>
        <v>79249097</v>
      </c>
      <c r="D421" s="1151">
        <f t="shared" si="22"/>
        <v>103435072</v>
      </c>
      <c r="E421" s="1151">
        <f t="shared" si="22"/>
        <v>102687401</v>
      </c>
      <c r="F421" s="992">
        <f t="shared" si="23"/>
        <v>99.277159105182434</v>
      </c>
      <c r="G421" s="224"/>
      <c r="H421" s="224"/>
    </row>
    <row r="422" spans="1:8" ht="13.5" thickBot="1" x14ac:dyDescent="0.25">
      <c r="A422" s="1554"/>
      <c r="B422" s="1149" t="s">
        <v>627</v>
      </c>
      <c r="C422" s="1151">
        <f t="shared" si="22"/>
        <v>12668247</v>
      </c>
      <c r="D422" s="1151">
        <f t="shared" si="22"/>
        <v>4278285</v>
      </c>
      <c r="E422" s="1151">
        <f t="shared" si="22"/>
        <v>0</v>
      </c>
      <c r="F422" s="1161"/>
      <c r="G422" s="224"/>
      <c r="H422" s="224"/>
    </row>
    <row r="423" spans="1:8" ht="13.5" thickBot="1" x14ac:dyDescent="0.25">
      <c r="A423" s="1554"/>
      <c r="B423" s="1149" t="s">
        <v>92</v>
      </c>
      <c r="C423" s="1151">
        <f t="shared" si="22"/>
        <v>2520052989</v>
      </c>
      <c r="D423" s="1151">
        <f t="shared" si="22"/>
        <v>1704955675</v>
      </c>
      <c r="E423" s="1151">
        <f t="shared" si="22"/>
        <v>842300249</v>
      </c>
      <c r="F423" s="992">
        <f t="shared" si="23"/>
        <v>49.403058469540561</v>
      </c>
      <c r="G423" s="224"/>
      <c r="H423" s="224"/>
    </row>
    <row r="424" spans="1:8" ht="13.5" thickBot="1" x14ac:dyDescent="0.25">
      <c r="A424" s="1554"/>
      <c r="B424" s="1149" t="s">
        <v>93</v>
      </c>
      <c r="C424" s="1151">
        <f t="shared" si="22"/>
        <v>13426123</v>
      </c>
      <c r="D424" s="1151">
        <f t="shared" si="22"/>
        <v>45391427</v>
      </c>
      <c r="E424" s="1151">
        <f t="shared" si="22"/>
        <v>39441130</v>
      </c>
      <c r="F424" s="992">
        <f t="shared" si="23"/>
        <v>86.891143563298854</v>
      </c>
      <c r="G424" s="224"/>
      <c r="H424" s="224"/>
    </row>
    <row r="425" spans="1:8" ht="13.5" thickBot="1" x14ac:dyDescent="0.25">
      <c r="A425" s="1554"/>
      <c r="B425" s="1149" t="s">
        <v>94</v>
      </c>
      <c r="C425" s="1151">
        <f t="shared" si="22"/>
        <v>0</v>
      </c>
      <c r="D425" s="1151">
        <f t="shared" si="22"/>
        <v>1207165</v>
      </c>
      <c r="E425" s="1151">
        <f t="shared" si="22"/>
        <v>1207165</v>
      </c>
      <c r="F425" s="1161">
        <f t="shared" si="23"/>
        <v>100</v>
      </c>
      <c r="G425" s="224"/>
      <c r="H425" s="224"/>
    </row>
    <row r="426" spans="1:8" ht="13.5" thickBot="1" x14ac:dyDescent="0.25">
      <c r="A426" s="1554"/>
      <c r="B426" s="1150" t="s">
        <v>103</v>
      </c>
      <c r="C426" s="1151">
        <f t="shared" si="22"/>
        <v>168634213</v>
      </c>
      <c r="D426" s="1151">
        <f t="shared" si="22"/>
        <v>234546980</v>
      </c>
      <c r="E426" s="1151">
        <f t="shared" si="22"/>
        <v>219513435</v>
      </c>
      <c r="F426" s="992">
        <f t="shared" si="23"/>
        <v>93.590390718311539</v>
      </c>
      <c r="G426" s="224"/>
      <c r="H426" s="224"/>
    </row>
    <row r="427" spans="1:8" ht="13.5" thickBot="1" x14ac:dyDescent="0.25">
      <c r="A427" s="1555"/>
      <c r="B427" s="993" t="s">
        <v>14</v>
      </c>
      <c r="C427" s="1163">
        <f>SUM(C417:C426)</f>
        <v>3090859877</v>
      </c>
      <c r="D427" s="1163">
        <f t="shared" ref="D427:E427" si="24">SUM(D417:D426)</f>
        <v>3378861972</v>
      </c>
      <c r="E427" s="1163">
        <f t="shared" si="24"/>
        <v>2001272627</v>
      </c>
      <c r="F427" s="1162">
        <f t="shared" si="23"/>
        <v>59.229191472873808</v>
      </c>
      <c r="G427" s="224"/>
      <c r="H427" s="224"/>
    </row>
  </sheetData>
  <mergeCells count="40">
    <mergeCell ref="A373:A383"/>
    <mergeCell ref="A384:A394"/>
    <mergeCell ref="A395:A405"/>
    <mergeCell ref="A406:A416"/>
    <mergeCell ref="A417:A427"/>
    <mergeCell ref="A38:A48"/>
    <mergeCell ref="A1:F1"/>
    <mergeCell ref="E2:F2"/>
    <mergeCell ref="A5:A15"/>
    <mergeCell ref="A16:A26"/>
    <mergeCell ref="A27:A37"/>
    <mergeCell ref="A172:A182"/>
    <mergeCell ref="A49:A59"/>
    <mergeCell ref="A60:A70"/>
    <mergeCell ref="A71:A81"/>
    <mergeCell ref="A83:A93"/>
    <mergeCell ref="A94:A104"/>
    <mergeCell ref="A105:A115"/>
    <mergeCell ref="A116:A126"/>
    <mergeCell ref="A127:A137"/>
    <mergeCell ref="A138:A148"/>
    <mergeCell ref="A149:A159"/>
    <mergeCell ref="A161:A171"/>
    <mergeCell ref="A284:A294"/>
    <mergeCell ref="A183:A193"/>
    <mergeCell ref="A194:A204"/>
    <mergeCell ref="A205:A215"/>
    <mergeCell ref="A217:A227"/>
    <mergeCell ref="A261:A271"/>
    <mergeCell ref="A272:A282"/>
    <mergeCell ref="A228:A238"/>
    <mergeCell ref="A239:A249"/>
    <mergeCell ref="A250:A260"/>
    <mergeCell ref="A362:A372"/>
    <mergeCell ref="A295:A305"/>
    <mergeCell ref="A306:A316"/>
    <mergeCell ref="A317:A327"/>
    <mergeCell ref="A328:A338"/>
    <mergeCell ref="A339:A349"/>
    <mergeCell ref="A350:A360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Header>&amp;R2.1. sz. melléklet
.../2020.(VI.25.) Egyek Önk.</oddHeader>
  </headerFooter>
  <rowBreaks count="5" manualBreakCount="5">
    <brk id="81" max="5" man="1"/>
    <brk id="159" max="5" man="1"/>
    <brk id="215" max="5" man="1"/>
    <brk id="282" max="5" man="1"/>
    <brk id="360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" zoomScale="110" zoomScaleNormal="110" zoomScaleSheetLayoutView="90" workbookViewId="0">
      <selection activeCell="G32" sqref="G32"/>
    </sheetView>
  </sheetViews>
  <sheetFormatPr defaultRowHeight="12.75" x14ac:dyDescent="0.2"/>
  <cols>
    <col min="1" max="1" width="30.7109375" style="24" customWidth="1"/>
    <col min="2" max="2" width="49" style="24" customWidth="1"/>
    <col min="3" max="3" width="19.140625" style="839" customWidth="1"/>
    <col min="4" max="4" width="17.28515625" style="839" customWidth="1"/>
    <col min="5" max="5" width="21" style="839" customWidth="1"/>
    <col min="6" max="6" width="14.5703125" style="839" customWidth="1"/>
    <col min="7" max="7" width="18" customWidth="1"/>
    <col min="8" max="8" width="12.5703125" customWidth="1"/>
    <col min="9" max="9" width="17.85546875" customWidth="1"/>
    <col min="10" max="10" width="16.7109375" customWidth="1"/>
    <col min="11" max="11" width="17.28515625" customWidth="1"/>
    <col min="12" max="12" width="14.42578125" customWidth="1"/>
  </cols>
  <sheetData>
    <row r="1" spans="1:11" ht="42.75" customHeight="1" x14ac:dyDescent="0.25">
      <c r="A1" s="1559" t="s">
        <v>622</v>
      </c>
      <c r="B1" s="1559"/>
      <c r="C1" s="1559"/>
      <c r="D1" s="1559"/>
      <c r="E1" s="1559"/>
      <c r="F1" s="1559"/>
      <c r="G1" s="838"/>
      <c r="H1" s="1112"/>
      <c r="I1" s="1112"/>
      <c r="J1" s="1112"/>
      <c r="K1" s="1112"/>
    </row>
    <row r="2" spans="1:11" x14ac:dyDescent="0.2">
      <c r="E2" s="1552" t="s">
        <v>184</v>
      </c>
      <c r="F2" s="1552"/>
      <c r="G2" s="575"/>
    </row>
    <row r="3" spans="1:11" ht="13.5" thickBot="1" x14ac:dyDescent="0.25">
      <c r="C3" s="24"/>
      <c r="G3" s="24"/>
      <c r="K3" s="82"/>
    </row>
    <row r="4" spans="1:11" ht="13.5" thickBot="1" x14ac:dyDescent="0.25">
      <c r="A4" s="840" t="s">
        <v>73</v>
      </c>
      <c r="B4" s="841" t="s">
        <v>24</v>
      </c>
      <c r="C4" s="842" t="s">
        <v>155</v>
      </c>
      <c r="D4" s="842" t="s">
        <v>148</v>
      </c>
      <c r="E4" s="842" t="s">
        <v>149</v>
      </c>
      <c r="F4" s="842" t="s">
        <v>150</v>
      </c>
      <c r="G4" s="1111"/>
      <c r="H4" s="224"/>
      <c r="K4" s="1"/>
    </row>
    <row r="5" spans="1:11" x14ac:dyDescent="0.2">
      <c r="A5" s="1550" t="s">
        <v>162</v>
      </c>
      <c r="B5" s="850" t="s">
        <v>88</v>
      </c>
      <c r="C5" s="844"/>
      <c r="D5" s="844"/>
      <c r="E5" s="844"/>
      <c r="F5" s="856"/>
      <c r="G5" s="1111"/>
      <c r="H5" s="224"/>
    </row>
    <row r="6" spans="1:11" ht="25.5" x14ac:dyDescent="0.2">
      <c r="A6" s="1551"/>
      <c r="B6" s="852" t="s">
        <v>101</v>
      </c>
      <c r="C6" s="717"/>
      <c r="D6" s="717"/>
      <c r="E6" s="717"/>
      <c r="F6" s="857"/>
      <c r="G6" s="1111"/>
      <c r="H6" s="224"/>
    </row>
    <row r="7" spans="1:11" x14ac:dyDescent="0.2">
      <c r="A7" s="1551"/>
      <c r="B7" s="852" t="s">
        <v>90</v>
      </c>
      <c r="C7" s="717">
        <v>2884000</v>
      </c>
      <c r="D7" s="717">
        <v>16129431</v>
      </c>
      <c r="E7" s="717">
        <v>15421490</v>
      </c>
      <c r="F7" s="857">
        <f>E7/D7*100</f>
        <v>95.610874307965361</v>
      </c>
      <c r="G7" s="1111"/>
      <c r="H7" s="224"/>
    </row>
    <row r="8" spans="1:11" x14ac:dyDescent="0.2">
      <c r="A8" s="1551"/>
      <c r="B8" s="852" t="s">
        <v>102</v>
      </c>
      <c r="C8" s="717"/>
      <c r="D8" s="717"/>
      <c r="E8" s="717"/>
      <c r="F8" s="857"/>
      <c r="G8" s="1111"/>
      <c r="H8" s="224"/>
    </row>
    <row r="9" spans="1:11" ht="25.5" x14ac:dyDescent="0.2">
      <c r="A9" s="1551"/>
      <c r="B9" s="852" t="s">
        <v>97</v>
      </c>
      <c r="C9" s="717">
        <v>691414</v>
      </c>
      <c r="D9" s="717">
        <v>776122</v>
      </c>
      <c r="E9" s="717">
        <v>776122</v>
      </c>
      <c r="F9" s="857">
        <f>E9/D9*100</f>
        <v>100</v>
      </c>
      <c r="G9" s="1111"/>
      <c r="H9" s="224"/>
    </row>
    <row r="10" spans="1:11" x14ac:dyDescent="0.2">
      <c r="A10" s="1551"/>
      <c r="B10" s="852" t="s">
        <v>627</v>
      </c>
      <c r="C10" s="717"/>
      <c r="D10" s="717"/>
      <c r="E10" s="717"/>
      <c r="F10" s="857"/>
      <c r="G10" s="1111"/>
      <c r="H10" s="224"/>
    </row>
    <row r="11" spans="1:11" x14ac:dyDescent="0.2">
      <c r="A11" s="1551"/>
      <c r="B11" s="852" t="s">
        <v>92</v>
      </c>
      <c r="C11" s="717"/>
      <c r="D11" s="717"/>
      <c r="E11" s="717"/>
      <c r="F11" s="857"/>
      <c r="G11" s="1111"/>
      <c r="H11" s="224"/>
    </row>
    <row r="12" spans="1:11" x14ac:dyDescent="0.2">
      <c r="A12" s="1551"/>
      <c r="B12" s="852" t="s">
        <v>93</v>
      </c>
      <c r="C12" s="732"/>
      <c r="D12" s="732"/>
      <c r="E12" s="732"/>
      <c r="F12" s="857"/>
      <c r="G12" s="1111"/>
      <c r="H12" s="224"/>
    </row>
    <row r="13" spans="1:11" x14ac:dyDescent="0.2">
      <c r="A13" s="1551"/>
      <c r="B13" s="852" t="s">
        <v>94</v>
      </c>
      <c r="C13" s="732"/>
      <c r="D13" s="732"/>
      <c r="E13" s="732"/>
      <c r="F13" s="857"/>
      <c r="G13" s="1111"/>
      <c r="H13" s="224"/>
    </row>
    <row r="14" spans="1:11" ht="13.5" thickBot="1" x14ac:dyDescent="0.25">
      <c r="A14" s="1551"/>
      <c r="B14" s="853" t="s">
        <v>103</v>
      </c>
      <c r="C14" s="734"/>
      <c r="D14" s="734"/>
      <c r="E14" s="734"/>
      <c r="F14" s="858"/>
      <c r="G14" s="1111"/>
      <c r="H14" s="224"/>
    </row>
    <row r="15" spans="1:11" ht="13.5" thickBot="1" x14ac:dyDescent="0.25">
      <c r="A15" s="1551"/>
      <c r="B15" s="848" t="s">
        <v>14</v>
      </c>
      <c r="C15" s="740">
        <f>SUM(C5:C14)</f>
        <v>3575414</v>
      </c>
      <c r="D15" s="740">
        <f>SUM(D5:D14)</f>
        <v>16905553</v>
      </c>
      <c r="E15" s="740">
        <f>SUM(E5:E14)</f>
        <v>16197612</v>
      </c>
      <c r="F15" s="849">
        <f>E15/D15*100</f>
        <v>95.812375969008528</v>
      </c>
      <c r="G15" s="1111"/>
      <c r="H15" s="224"/>
    </row>
    <row r="16" spans="1:11" x14ac:dyDescent="0.2">
      <c r="A16" s="1550" t="s">
        <v>77</v>
      </c>
      <c r="B16" s="850" t="s">
        <v>88</v>
      </c>
      <c r="C16" s="844">
        <v>3558450</v>
      </c>
      <c r="D16" s="844">
        <v>3362850</v>
      </c>
      <c r="E16" s="844">
        <v>3258400</v>
      </c>
      <c r="F16" s="857">
        <f>E16/D16*100</f>
        <v>96.894003598138482</v>
      </c>
      <c r="G16" s="1111"/>
      <c r="H16" s="224"/>
    </row>
    <row r="17" spans="1:8" ht="25.5" x14ac:dyDescent="0.2">
      <c r="A17" s="1551"/>
      <c r="B17" s="852" t="s">
        <v>101</v>
      </c>
      <c r="C17" s="717">
        <v>660182</v>
      </c>
      <c r="D17" s="717">
        <v>679671</v>
      </c>
      <c r="E17" s="717">
        <v>602674</v>
      </c>
      <c r="F17" s="857">
        <f>E17/D17*100</f>
        <v>88.671430736341549</v>
      </c>
      <c r="G17" s="1111"/>
      <c r="H17" s="224"/>
    </row>
    <row r="18" spans="1:8" x14ac:dyDescent="0.2">
      <c r="A18" s="1551"/>
      <c r="B18" s="852" t="s">
        <v>90</v>
      </c>
      <c r="C18" s="717">
        <v>1123000</v>
      </c>
      <c r="D18" s="717">
        <v>1580419</v>
      </c>
      <c r="E18" s="717">
        <v>1160643</v>
      </c>
      <c r="F18" s="857">
        <f>E18/D18*100</f>
        <v>73.438942457664709</v>
      </c>
      <c r="G18" s="1111"/>
      <c r="H18" s="224"/>
    </row>
    <row r="19" spans="1:8" x14ac:dyDescent="0.2">
      <c r="A19" s="1551"/>
      <c r="B19" s="852" t="s">
        <v>102</v>
      </c>
      <c r="C19" s="717"/>
      <c r="D19" s="717"/>
      <c r="E19" s="717"/>
      <c r="F19" s="857"/>
      <c r="G19" s="1111"/>
      <c r="H19" s="224"/>
    </row>
    <row r="20" spans="1:8" ht="25.5" x14ac:dyDescent="0.2">
      <c r="A20" s="1551"/>
      <c r="B20" s="852" t="s">
        <v>97</v>
      </c>
      <c r="C20" s="717"/>
      <c r="D20" s="717"/>
      <c r="E20" s="717"/>
      <c r="F20" s="857"/>
      <c r="G20" s="1111"/>
      <c r="H20" s="224"/>
    </row>
    <row r="21" spans="1:8" x14ac:dyDescent="0.2">
      <c r="A21" s="1551"/>
      <c r="B21" s="852" t="s">
        <v>627</v>
      </c>
      <c r="C21" s="717"/>
      <c r="D21" s="717"/>
      <c r="E21" s="717"/>
      <c r="F21" s="857"/>
      <c r="G21" s="1111"/>
      <c r="H21" s="224"/>
    </row>
    <row r="22" spans="1:8" x14ac:dyDescent="0.2">
      <c r="A22" s="1551"/>
      <c r="B22" s="852" t="s">
        <v>92</v>
      </c>
      <c r="C22" s="717"/>
      <c r="D22" s="717">
        <v>682319</v>
      </c>
      <c r="E22" s="717"/>
      <c r="F22" s="857">
        <f>E22/D22*100</f>
        <v>0</v>
      </c>
      <c r="G22" s="1111"/>
      <c r="H22" s="224"/>
    </row>
    <row r="23" spans="1:8" x14ac:dyDescent="0.2">
      <c r="A23" s="1551"/>
      <c r="B23" s="852" t="s">
        <v>93</v>
      </c>
      <c r="C23" s="732"/>
      <c r="D23" s="732"/>
      <c r="E23" s="732"/>
      <c r="F23" s="857"/>
      <c r="G23" s="1111"/>
      <c r="H23" s="224"/>
    </row>
    <row r="24" spans="1:8" x14ac:dyDescent="0.2">
      <c r="A24" s="1551"/>
      <c r="B24" s="852" t="s">
        <v>94</v>
      </c>
      <c r="C24" s="732"/>
      <c r="D24" s="732"/>
      <c r="E24" s="732"/>
      <c r="F24" s="857"/>
      <c r="G24" s="1111"/>
      <c r="H24" s="224"/>
    </row>
    <row r="25" spans="1:8" ht="13.5" thickBot="1" x14ac:dyDescent="0.25">
      <c r="A25" s="1551"/>
      <c r="B25" s="853" t="s">
        <v>103</v>
      </c>
      <c r="C25" s="734"/>
      <c r="D25" s="734"/>
      <c r="E25" s="734"/>
      <c r="F25" s="858"/>
      <c r="G25" s="1111"/>
      <c r="H25" s="224"/>
    </row>
    <row r="26" spans="1:8" ht="13.5" thickBot="1" x14ac:dyDescent="0.25">
      <c r="A26" s="1551"/>
      <c r="B26" s="848" t="s">
        <v>14</v>
      </c>
      <c r="C26" s="740">
        <f>SUM(C16:C25)</f>
        <v>5341632</v>
      </c>
      <c r="D26" s="740">
        <f>SUM(D16:D25)</f>
        <v>6305259</v>
      </c>
      <c r="E26" s="740">
        <f>SUM(E16:E25)</f>
        <v>5021717</v>
      </c>
      <c r="F26" s="849">
        <f>E26/D26*100</f>
        <v>79.643310449261477</v>
      </c>
      <c r="G26" s="1111"/>
      <c r="H26" s="224"/>
    </row>
    <row r="27" spans="1:8" ht="13.5" thickBot="1" x14ac:dyDescent="0.25">
      <c r="A27" s="1553" t="s">
        <v>11</v>
      </c>
      <c r="B27" s="1148" t="s">
        <v>88</v>
      </c>
      <c r="C27" s="1151">
        <f>C16+C5</f>
        <v>3558450</v>
      </c>
      <c r="D27" s="1151">
        <f t="shared" ref="D27:E27" si="0">D16+D5</f>
        <v>3362850</v>
      </c>
      <c r="E27" s="1151">
        <f t="shared" si="0"/>
        <v>3258400</v>
      </c>
      <c r="F27" s="992">
        <f>E27/D27*100</f>
        <v>96.894003598138482</v>
      </c>
      <c r="G27" s="224"/>
      <c r="H27" s="224"/>
    </row>
    <row r="28" spans="1:8" ht="26.25" thickBot="1" x14ac:dyDescent="0.25">
      <c r="A28" s="1554"/>
      <c r="B28" s="1149" t="s">
        <v>101</v>
      </c>
      <c r="C28" s="1151">
        <f t="shared" ref="C28:E36" si="1">C17+C6</f>
        <v>660182</v>
      </c>
      <c r="D28" s="1151">
        <f t="shared" si="1"/>
        <v>679671</v>
      </c>
      <c r="E28" s="1151">
        <f t="shared" si="1"/>
        <v>602674</v>
      </c>
      <c r="F28" s="1161">
        <f t="shared" ref="F28:F37" si="2">E28/D28*100</f>
        <v>88.671430736341549</v>
      </c>
      <c r="G28" s="224"/>
      <c r="H28" s="224"/>
    </row>
    <row r="29" spans="1:8" ht="13.5" thickBot="1" x14ac:dyDescent="0.25">
      <c r="A29" s="1554"/>
      <c r="B29" s="1149" t="s">
        <v>90</v>
      </c>
      <c r="C29" s="1151">
        <f t="shared" si="1"/>
        <v>4007000</v>
      </c>
      <c r="D29" s="1151">
        <f t="shared" si="1"/>
        <v>17709850</v>
      </c>
      <c r="E29" s="1151">
        <f t="shared" si="1"/>
        <v>16582133</v>
      </c>
      <c r="F29" s="992">
        <f t="shared" si="2"/>
        <v>93.632261142810364</v>
      </c>
      <c r="G29" s="224"/>
      <c r="H29" s="224"/>
    </row>
    <row r="30" spans="1:8" ht="19.5" customHeight="1" thickBot="1" x14ac:dyDescent="0.25">
      <c r="A30" s="1554"/>
      <c r="B30" s="1149" t="s">
        <v>102</v>
      </c>
      <c r="C30" s="1151">
        <f t="shared" si="1"/>
        <v>0</v>
      </c>
      <c r="D30" s="1151">
        <f t="shared" si="1"/>
        <v>0</v>
      </c>
      <c r="E30" s="1151">
        <f t="shared" si="1"/>
        <v>0</v>
      </c>
      <c r="F30" s="1161"/>
      <c r="G30" s="224"/>
      <c r="H30" s="224"/>
    </row>
    <row r="31" spans="1:8" ht="26.25" thickBot="1" x14ac:dyDescent="0.25">
      <c r="A31" s="1554"/>
      <c r="B31" s="1149" t="s">
        <v>97</v>
      </c>
      <c r="C31" s="1151">
        <f t="shared" si="1"/>
        <v>691414</v>
      </c>
      <c r="D31" s="1151">
        <f t="shared" si="1"/>
        <v>776122</v>
      </c>
      <c r="E31" s="1151">
        <f t="shared" si="1"/>
        <v>776122</v>
      </c>
      <c r="F31" s="992">
        <f t="shared" si="2"/>
        <v>100</v>
      </c>
      <c r="G31" s="224"/>
      <c r="H31" s="224"/>
    </row>
    <row r="32" spans="1:8" ht="13.5" thickBot="1" x14ac:dyDescent="0.25">
      <c r="A32" s="1554"/>
      <c r="B32" s="1149" t="s">
        <v>627</v>
      </c>
      <c r="C32" s="1151">
        <f t="shared" si="1"/>
        <v>0</v>
      </c>
      <c r="D32" s="1151">
        <f t="shared" si="1"/>
        <v>0</v>
      </c>
      <c r="E32" s="1151">
        <f t="shared" si="1"/>
        <v>0</v>
      </c>
      <c r="F32" s="1161"/>
      <c r="G32" s="224"/>
      <c r="H32" s="224"/>
    </row>
    <row r="33" spans="1:8" ht="13.5" thickBot="1" x14ac:dyDescent="0.25">
      <c r="A33" s="1554"/>
      <c r="B33" s="1149" t="s">
        <v>92</v>
      </c>
      <c r="C33" s="1151">
        <f t="shared" si="1"/>
        <v>0</v>
      </c>
      <c r="D33" s="1151">
        <f t="shared" si="1"/>
        <v>682319</v>
      </c>
      <c r="E33" s="1151">
        <f t="shared" si="1"/>
        <v>0</v>
      </c>
      <c r="F33" s="992">
        <f t="shared" si="2"/>
        <v>0</v>
      </c>
      <c r="G33" s="224"/>
      <c r="H33" s="224"/>
    </row>
    <row r="34" spans="1:8" ht="13.5" thickBot="1" x14ac:dyDescent="0.25">
      <c r="A34" s="1554"/>
      <c r="B34" s="1149" t="s">
        <v>93</v>
      </c>
      <c r="C34" s="1151">
        <f t="shared" si="1"/>
        <v>0</v>
      </c>
      <c r="D34" s="1151">
        <f t="shared" si="1"/>
        <v>0</v>
      </c>
      <c r="E34" s="1151">
        <f t="shared" si="1"/>
        <v>0</v>
      </c>
      <c r="F34" s="992"/>
      <c r="G34" s="224"/>
      <c r="H34" s="224"/>
    </row>
    <row r="35" spans="1:8" ht="13.5" thickBot="1" x14ac:dyDescent="0.25">
      <c r="A35" s="1554"/>
      <c r="B35" s="1149" t="s">
        <v>94</v>
      </c>
      <c r="C35" s="1151">
        <f t="shared" si="1"/>
        <v>0</v>
      </c>
      <c r="D35" s="1151">
        <f t="shared" si="1"/>
        <v>0</v>
      </c>
      <c r="E35" s="1151">
        <f t="shared" si="1"/>
        <v>0</v>
      </c>
      <c r="F35" s="1161"/>
      <c r="G35" s="224"/>
      <c r="H35" s="224"/>
    </row>
    <row r="36" spans="1:8" ht="13.5" thickBot="1" x14ac:dyDescent="0.25">
      <c r="A36" s="1554"/>
      <c r="B36" s="1150" t="s">
        <v>103</v>
      </c>
      <c r="C36" s="1151">
        <f t="shared" si="1"/>
        <v>0</v>
      </c>
      <c r="D36" s="1151">
        <f t="shared" si="1"/>
        <v>0</v>
      </c>
      <c r="E36" s="1151">
        <f t="shared" si="1"/>
        <v>0</v>
      </c>
      <c r="F36" s="992"/>
      <c r="G36" s="224"/>
      <c r="H36" s="224"/>
    </row>
    <row r="37" spans="1:8" ht="13.5" thickBot="1" x14ac:dyDescent="0.25">
      <c r="A37" s="1555"/>
      <c r="B37" s="993" t="s">
        <v>14</v>
      </c>
      <c r="C37" s="1163">
        <f>SUM(C27:C36)</f>
        <v>8917046</v>
      </c>
      <c r="D37" s="1163">
        <f t="shared" ref="D37:E37" si="3">SUM(D27:D36)</f>
        <v>23210812</v>
      </c>
      <c r="E37" s="1163">
        <f t="shared" si="3"/>
        <v>21219329</v>
      </c>
      <c r="F37" s="1162">
        <f t="shared" si="2"/>
        <v>91.420020118210431</v>
      </c>
      <c r="G37" s="224"/>
      <c r="H37" s="224"/>
    </row>
  </sheetData>
  <mergeCells count="5">
    <mergeCell ref="A27:A37"/>
    <mergeCell ref="A16:A26"/>
    <mergeCell ref="A5:A15"/>
    <mergeCell ref="A1:F1"/>
    <mergeCell ref="E2:F2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Header>&amp;R2.1. sz. melléklet
.../2020.(VI.25.)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2:N65"/>
  <sheetViews>
    <sheetView topLeftCell="A27" zoomScaleNormal="100" workbookViewId="0">
      <selection activeCell="D67" sqref="D67"/>
    </sheetView>
  </sheetViews>
  <sheetFormatPr defaultRowHeight="12.75" x14ac:dyDescent="0.2"/>
  <cols>
    <col min="1" max="1" width="37.140625" customWidth="1"/>
    <col min="2" max="2" width="44.140625" customWidth="1"/>
    <col min="3" max="3" width="17.28515625" style="87" customWidth="1"/>
    <col min="4" max="4" width="21" style="87" customWidth="1"/>
    <col min="5" max="5" width="18" style="87" customWidth="1"/>
    <col min="6" max="6" width="12.5703125" customWidth="1"/>
    <col min="7" max="8" width="18" customWidth="1"/>
    <col min="9" max="9" width="12.5703125" customWidth="1"/>
    <col min="10" max="10" width="15.28515625" customWidth="1"/>
    <col min="12" max="12" width="10" bestFit="1" customWidth="1"/>
  </cols>
  <sheetData>
    <row r="2" spans="1:14" ht="32.25" customHeight="1" x14ac:dyDescent="0.2">
      <c r="A2" s="1560" t="s">
        <v>623</v>
      </c>
      <c r="B2" s="1560"/>
      <c r="C2" s="1560"/>
      <c r="D2" s="1560"/>
      <c r="E2" s="1560"/>
      <c r="F2" s="1560"/>
      <c r="G2" s="218"/>
      <c r="H2" s="218"/>
      <c r="I2" s="218"/>
    </row>
    <row r="3" spans="1:14" ht="12.75" customHeight="1" thickBot="1" x14ac:dyDescent="0.25">
      <c r="A3" s="218"/>
      <c r="B3" s="218"/>
      <c r="C3" s="226"/>
      <c r="D3" s="226"/>
      <c r="E3" s="1561" t="s">
        <v>529</v>
      </c>
      <c r="F3" s="1561"/>
      <c r="G3" s="218"/>
      <c r="H3" s="218"/>
      <c r="I3" s="218"/>
    </row>
    <row r="4" spans="1:14" ht="26.25" thickBot="1" x14ac:dyDescent="0.25">
      <c r="A4" s="164" t="s">
        <v>73</v>
      </c>
      <c r="B4" s="204" t="s">
        <v>24</v>
      </c>
      <c r="C4" s="225" t="s">
        <v>155</v>
      </c>
      <c r="D4" s="225" t="s">
        <v>148</v>
      </c>
      <c r="E4" s="225" t="s">
        <v>149</v>
      </c>
      <c r="F4" s="205" t="s">
        <v>150</v>
      </c>
    </row>
    <row r="5" spans="1:14" x14ac:dyDescent="0.2">
      <c r="A5" s="1548" t="s">
        <v>80</v>
      </c>
      <c r="B5" s="216" t="s">
        <v>88</v>
      </c>
      <c r="C5" s="221">
        <v>78383257</v>
      </c>
      <c r="D5" s="221">
        <v>91331685</v>
      </c>
      <c r="E5" s="221">
        <v>91281680</v>
      </c>
      <c r="F5" s="207">
        <f>E5/D5*100</f>
        <v>99.945249011884542</v>
      </c>
      <c r="G5" s="12"/>
      <c r="H5" s="13"/>
      <c r="I5" s="13"/>
      <c r="J5" s="13" t="s">
        <v>42</v>
      </c>
      <c r="K5" s="13"/>
      <c r="L5" s="14"/>
      <c r="M5" s="14"/>
      <c r="N5" s="14"/>
    </row>
    <row r="6" spans="1:14" ht="25.5" x14ac:dyDescent="0.2">
      <c r="A6" s="1549"/>
      <c r="B6" s="217" t="s">
        <v>101</v>
      </c>
      <c r="C6" s="222">
        <v>16066068</v>
      </c>
      <c r="D6" s="222">
        <v>17725880</v>
      </c>
      <c r="E6" s="222">
        <v>17348557</v>
      </c>
      <c r="F6" s="81">
        <f t="shared" ref="F6:F15" si="0">E6/D6*100</f>
        <v>97.8713440461066</v>
      </c>
      <c r="G6" s="15"/>
      <c r="H6" s="16"/>
      <c r="I6" s="16"/>
      <c r="J6" s="16"/>
      <c r="K6" s="16"/>
      <c r="L6" s="16"/>
      <c r="M6" s="16"/>
      <c r="N6" s="16"/>
    </row>
    <row r="7" spans="1:14" x14ac:dyDescent="0.2">
      <c r="A7" s="1549"/>
      <c r="B7" s="217" t="s">
        <v>90</v>
      </c>
      <c r="C7" s="222">
        <v>26098300</v>
      </c>
      <c r="D7" s="222">
        <v>25783171</v>
      </c>
      <c r="E7" s="222">
        <v>16347572</v>
      </c>
      <c r="F7" s="81">
        <f t="shared" si="0"/>
        <v>63.404039790140629</v>
      </c>
      <c r="G7" s="17"/>
      <c r="H7" s="28"/>
      <c r="I7" s="28"/>
      <c r="J7" s="28"/>
      <c r="K7" s="28"/>
      <c r="L7" s="4"/>
      <c r="M7" s="4"/>
      <c r="N7" s="4"/>
    </row>
    <row r="8" spans="1:14" x14ac:dyDescent="0.2">
      <c r="A8" s="1549"/>
      <c r="B8" s="217" t="s">
        <v>102</v>
      </c>
      <c r="C8" s="222"/>
      <c r="D8" s="222"/>
      <c r="E8" s="222"/>
      <c r="F8" s="81"/>
      <c r="G8" s="17"/>
      <c r="H8" s="28"/>
      <c r="I8" s="28"/>
      <c r="J8" s="29"/>
      <c r="K8" s="28"/>
      <c r="L8" s="4"/>
      <c r="M8" s="4"/>
      <c r="N8" s="4"/>
    </row>
    <row r="9" spans="1:14" ht="25.5" x14ac:dyDescent="0.2">
      <c r="A9" s="1549"/>
      <c r="B9" s="217" t="s">
        <v>97</v>
      </c>
      <c r="C9" s="222">
        <v>5024165</v>
      </c>
      <c r="D9" s="222">
        <v>5024165</v>
      </c>
      <c r="E9" s="222">
        <v>5024165</v>
      </c>
      <c r="F9" s="81">
        <f t="shared" si="0"/>
        <v>100</v>
      </c>
      <c r="G9" s="17"/>
      <c r="H9" s="28"/>
      <c r="I9" s="28"/>
      <c r="J9" s="28"/>
      <c r="K9" s="28"/>
      <c r="L9" s="4"/>
      <c r="M9" s="4"/>
      <c r="N9" s="4"/>
    </row>
    <row r="10" spans="1:14" x14ac:dyDescent="0.2">
      <c r="A10" s="1549"/>
      <c r="B10" s="217" t="s">
        <v>627</v>
      </c>
      <c r="C10" s="222"/>
      <c r="D10" s="222"/>
      <c r="E10" s="222"/>
      <c r="F10" s="81"/>
      <c r="G10" s="17"/>
      <c r="H10" s="28"/>
      <c r="I10" s="28"/>
      <c r="J10" s="28"/>
      <c r="K10" s="28"/>
      <c r="L10" s="4"/>
      <c r="M10" s="4"/>
      <c r="N10" s="4"/>
    </row>
    <row r="11" spans="1:14" x14ac:dyDescent="0.2">
      <c r="A11" s="1549"/>
      <c r="B11" s="217" t="s">
        <v>92</v>
      </c>
      <c r="C11" s="222">
        <v>2012000</v>
      </c>
      <c r="D11" s="222">
        <v>2012000</v>
      </c>
      <c r="E11" s="222">
        <v>1090791</v>
      </c>
      <c r="F11" s="81">
        <f t="shared" si="0"/>
        <v>54.21426441351889</v>
      </c>
      <c r="G11" s="17"/>
      <c r="H11" s="28"/>
      <c r="I11" s="28"/>
      <c r="J11" s="28"/>
      <c r="K11" s="28"/>
      <c r="L11" s="4"/>
      <c r="M11" s="4"/>
      <c r="N11" s="4"/>
    </row>
    <row r="12" spans="1:14" x14ac:dyDescent="0.2">
      <c r="A12" s="1549"/>
      <c r="B12" s="217" t="s">
        <v>93</v>
      </c>
      <c r="C12" s="78"/>
      <c r="D12" s="78"/>
      <c r="E12" s="83"/>
      <c r="F12" s="81"/>
      <c r="G12" s="17"/>
      <c r="H12" s="28"/>
      <c r="I12" s="28"/>
      <c r="J12" s="28"/>
      <c r="K12" s="28"/>
      <c r="L12" s="4"/>
      <c r="M12" s="4"/>
      <c r="N12" s="4"/>
    </row>
    <row r="13" spans="1:14" x14ac:dyDescent="0.2">
      <c r="A13" s="1549"/>
      <c r="B13" s="217" t="s">
        <v>94</v>
      </c>
      <c r="C13" s="78"/>
      <c r="D13" s="78"/>
      <c r="E13" s="83"/>
      <c r="F13" s="81"/>
      <c r="G13" s="17"/>
      <c r="H13" s="28"/>
      <c r="I13" s="28"/>
      <c r="J13" s="28"/>
      <c r="K13" s="28"/>
      <c r="L13" s="4"/>
      <c r="M13" s="4"/>
      <c r="N13" s="4"/>
    </row>
    <row r="14" spans="1:14" ht="13.5" thickBot="1" x14ac:dyDescent="0.25">
      <c r="A14" s="1549"/>
      <c r="B14" s="209" t="s">
        <v>103</v>
      </c>
      <c r="C14" s="210"/>
      <c r="D14" s="210"/>
      <c r="E14" s="211"/>
      <c r="F14" s="212"/>
      <c r="G14" s="17"/>
      <c r="H14" s="28"/>
      <c r="I14" s="28"/>
      <c r="J14" s="28"/>
      <c r="K14" s="28"/>
      <c r="L14" s="4"/>
      <c r="M14" s="4"/>
      <c r="N14" s="4"/>
    </row>
    <row r="15" spans="1:14" ht="13.5" thickBot="1" x14ac:dyDescent="0.25">
      <c r="A15" s="1549"/>
      <c r="B15" s="848" t="s">
        <v>14</v>
      </c>
      <c r="C15" s="801">
        <f>SUM(C5:C14)</f>
        <v>127583790</v>
      </c>
      <c r="D15" s="801">
        <f>SUM(D5:D14)</f>
        <v>141876901</v>
      </c>
      <c r="E15" s="801">
        <f>SUM(E5:E14)</f>
        <v>131092765</v>
      </c>
      <c r="F15" s="923">
        <f t="shared" si="0"/>
        <v>92.398948719636891</v>
      </c>
      <c r="G15" s="17"/>
      <c r="H15" s="28"/>
      <c r="I15" s="28"/>
      <c r="J15" s="28"/>
      <c r="K15" s="28"/>
      <c r="L15" s="4"/>
      <c r="M15" s="4"/>
      <c r="N15" s="4"/>
    </row>
    <row r="16" spans="1:14" x14ac:dyDescent="0.2">
      <c r="A16" s="1562" t="s">
        <v>81</v>
      </c>
      <c r="B16" s="206" t="s">
        <v>88</v>
      </c>
      <c r="C16" s="221">
        <v>7778648</v>
      </c>
      <c r="D16" s="221">
        <v>8994341</v>
      </c>
      <c r="E16" s="221">
        <v>8851488</v>
      </c>
      <c r="F16" s="207">
        <f>E16/D16*100</f>
        <v>98.411745785488904</v>
      </c>
      <c r="G16" s="17"/>
      <c r="H16" s="28"/>
      <c r="I16" s="28"/>
      <c r="J16" s="28"/>
      <c r="K16" s="28"/>
      <c r="L16" s="4"/>
      <c r="M16" s="4"/>
      <c r="N16" s="4"/>
    </row>
    <row r="17" spans="1:14" ht="25.5" x14ac:dyDescent="0.2">
      <c r="A17" s="1563"/>
      <c r="B17" s="208" t="s">
        <v>101</v>
      </c>
      <c r="C17" s="222">
        <v>1611166</v>
      </c>
      <c r="D17" s="222">
        <v>1818985</v>
      </c>
      <c r="E17" s="222">
        <v>1740349</v>
      </c>
      <c r="F17" s="81">
        <f>E17/D17*100</f>
        <v>95.676929716297821</v>
      </c>
      <c r="G17" s="17"/>
      <c r="H17" s="28"/>
      <c r="I17" s="28"/>
      <c r="J17" s="28"/>
      <c r="K17" s="28"/>
      <c r="L17" s="4"/>
      <c r="M17" s="4"/>
      <c r="N17" s="4"/>
    </row>
    <row r="18" spans="1:14" x14ac:dyDescent="0.2">
      <c r="A18" s="1563"/>
      <c r="B18" s="208" t="s">
        <v>90</v>
      </c>
      <c r="C18" s="222"/>
      <c r="D18" s="222"/>
      <c r="E18" s="222"/>
      <c r="F18" s="81"/>
      <c r="G18" s="17"/>
      <c r="H18" s="28"/>
      <c r="I18" s="28"/>
      <c r="J18" s="28"/>
      <c r="K18" s="28"/>
      <c r="L18" s="4"/>
      <c r="M18" s="4"/>
      <c r="N18" s="4"/>
    </row>
    <row r="19" spans="1:14" x14ac:dyDescent="0.2">
      <c r="A19" s="1563"/>
      <c r="B19" s="208" t="s">
        <v>102</v>
      </c>
      <c r="C19" s="222"/>
      <c r="D19" s="222"/>
      <c r="E19" s="222"/>
      <c r="F19" s="81"/>
      <c r="G19" s="17"/>
      <c r="H19" s="28"/>
      <c r="I19" s="28"/>
      <c r="J19" s="28"/>
      <c r="K19" s="28"/>
      <c r="L19" s="4"/>
      <c r="M19" s="4"/>
      <c r="N19" s="4"/>
    </row>
    <row r="20" spans="1:14" ht="25.5" x14ac:dyDescent="0.2">
      <c r="A20" s="1563"/>
      <c r="B20" s="208" t="s">
        <v>97</v>
      </c>
      <c r="C20" s="222"/>
      <c r="D20" s="222"/>
      <c r="E20" s="222"/>
      <c r="F20" s="81"/>
      <c r="G20" s="15"/>
      <c r="H20" s="30"/>
      <c r="I20" s="30"/>
      <c r="J20" s="30"/>
      <c r="K20" s="30"/>
      <c r="L20" s="4"/>
      <c r="M20" s="4"/>
      <c r="N20" s="4"/>
    </row>
    <row r="21" spans="1:14" x14ac:dyDescent="0.2">
      <c r="A21" s="1563"/>
      <c r="B21" s="208" t="s">
        <v>627</v>
      </c>
      <c r="C21" s="222"/>
      <c r="D21" s="222"/>
      <c r="E21" s="222"/>
      <c r="F21" s="81"/>
      <c r="H21" s="1"/>
      <c r="I21" s="1"/>
      <c r="J21" s="1"/>
      <c r="K21" s="1"/>
      <c r="L21" s="1"/>
      <c r="M21" s="1"/>
      <c r="N21" s="1"/>
    </row>
    <row r="22" spans="1:14" x14ac:dyDescent="0.2">
      <c r="A22" s="1563"/>
      <c r="B22" s="208" t="s">
        <v>92</v>
      </c>
      <c r="C22" s="222"/>
      <c r="D22" s="222"/>
      <c r="E22" s="222">
        <v>2159</v>
      </c>
      <c r="F22" s="81"/>
      <c r="H22" s="1"/>
      <c r="I22" s="1"/>
      <c r="J22" s="1"/>
      <c r="K22" s="1"/>
      <c r="L22" s="1"/>
      <c r="M22" s="1"/>
      <c r="N22" s="1"/>
    </row>
    <row r="23" spans="1:14" x14ac:dyDescent="0.2">
      <c r="A23" s="1563"/>
      <c r="B23" s="208" t="s">
        <v>93</v>
      </c>
      <c r="C23" s="78"/>
      <c r="D23" s="78"/>
      <c r="E23" s="83"/>
      <c r="F23" s="81"/>
    </row>
    <row r="24" spans="1:14" x14ac:dyDescent="0.2">
      <c r="A24" s="1563"/>
      <c r="B24" s="208" t="s">
        <v>94</v>
      </c>
      <c r="C24" s="78"/>
      <c r="D24" s="78"/>
      <c r="E24" s="83"/>
      <c r="F24" s="81"/>
    </row>
    <row r="25" spans="1:14" ht="13.5" thickBot="1" x14ac:dyDescent="0.25">
      <c r="A25" s="1563"/>
      <c r="B25" s="213" t="s">
        <v>103</v>
      </c>
      <c r="C25" s="210"/>
      <c r="D25" s="210"/>
      <c r="E25" s="211"/>
      <c r="F25" s="212"/>
    </row>
    <row r="26" spans="1:14" ht="13.5" thickBot="1" x14ac:dyDescent="0.25">
      <c r="A26" s="1563"/>
      <c r="B26" s="214" t="s">
        <v>14</v>
      </c>
      <c r="C26" s="223">
        <f>SUM(C16:C25)</f>
        <v>9389814</v>
      </c>
      <c r="D26" s="223">
        <f>SUM(D16:D25)</f>
        <v>10813326</v>
      </c>
      <c r="E26" s="223">
        <f>SUM(E16:E25)</f>
        <v>10593996</v>
      </c>
      <c r="F26" s="215">
        <f>E26/D26*100</f>
        <v>97.97166940125544</v>
      </c>
    </row>
    <row r="27" spans="1:14" x14ac:dyDescent="0.2">
      <c r="A27" s="1564" t="s">
        <v>616</v>
      </c>
      <c r="B27" s="206" t="s">
        <v>88</v>
      </c>
      <c r="C27" s="221"/>
      <c r="D27" s="221">
        <v>3211028</v>
      </c>
      <c r="E27" s="221">
        <v>3211028</v>
      </c>
      <c r="F27" s="207"/>
    </row>
    <row r="28" spans="1:14" ht="25.5" x14ac:dyDescent="0.2">
      <c r="A28" s="1565"/>
      <c r="B28" s="208" t="s">
        <v>101</v>
      </c>
      <c r="C28" s="222"/>
      <c r="D28" s="222">
        <v>621230</v>
      </c>
      <c r="E28" s="222">
        <v>621233</v>
      </c>
      <c r="F28" s="81"/>
    </row>
    <row r="29" spans="1:14" x14ac:dyDescent="0.2">
      <c r="A29" s="1565"/>
      <c r="B29" s="208" t="s">
        <v>90</v>
      </c>
      <c r="C29" s="222"/>
      <c r="D29" s="222">
        <v>188416</v>
      </c>
      <c r="E29" s="222">
        <v>188413</v>
      </c>
      <c r="F29" s="81"/>
    </row>
    <row r="30" spans="1:14" x14ac:dyDescent="0.2">
      <c r="A30" s="1565"/>
      <c r="B30" s="208" t="s">
        <v>102</v>
      </c>
      <c r="C30" s="222"/>
      <c r="D30" s="222"/>
      <c r="E30" s="222"/>
      <c r="F30" s="81"/>
    </row>
    <row r="31" spans="1:14" ht="25.5" x14ac:dyDescent="0.2">
      <c r="A31" s="1565"/>
      <c r="B31" s="208" t="s">
        <v>97</v>
      </c>
      <c r="C31" s="222"/>
      <c r="D31" s="222"/>
      <c r="E31" s="222"/>
      <c r="F31" s="81"/>
    </row>
    <row r="32" spans="1:14" x14ac:dyDescent="0.2">
      <c r="A32" s="1565"/>
      <c r="B32" s="208" t="s">
        <v>627</v>
      </c>
      <c r="C32" s="222"/>
      <c r="D32" s="222"/>
      <c r="E32" s="222"/>
      <c r="F32" s="81"/>
    </row>
    <row r="33" spans="1:8" x14ac:dyDescent="0.2">
      <c r="A33" s="1565"/>
      <c r="B33" s="208" t="s">
        <v>92</v>
      </c>
      <c r="C33" s="222"/>
      <c r="D33" s="222"/>
      <c r="E33" s="222"/>
      <c r="F33" s="81"/>
    </row>
    <row r="34" spans="1:8" x14ac:dyDescent="0.2">
      <c r="A34" s="1565"/>
      <c r="B34" s="208" t="s">
        <v>93</v>
      </c>
      <c r="C34" s="78"/>
      <c r="D34" s="78"/>
      <c r="E34" s="83"/>
      <c r="F34" s="81"/>
    </row>
    <row r="35" spans="1:8" x14ac:dyDescent="0.2">
      <c r="A35" s="1565"/>
      <c r="B35" s="208" t="s">
        <v>94</v>
      </c>
      <c r="C35" s="78"/>
      <c r="D35" s="78"/>
      <c r="E35" s="83"/>
      <c r="F35" s="81"/>
    </row>
    <row r="36" spans="1:8" ht="13.5" thickBot="1" x14ac:dyDescent="0.25">
      <c r="A36" s="1565"/>
      <c r="B36" s="213" t="s">
        <v>103</v>
      </c>
      <c r="C36" s="210"/>
      <c r="D36" s="210"/>
      <c r="E36" s="211"/>
      <c r="F36" s="212"/>
    </row>
    <row r="37" spans="1:8" ht="13.5" thickBot="1" x14ac:dyDescent="0.25">
      <c r="A37" s="1566"/>
      <c r="B37" s="214" t="s">
        <v>14</v>
      </c>
      <c r="C37" s="223">
        <f>SUM(C27:C36)</f>
        <v>0</v>
      </c>
      <c r="D37" s="223">
        <f>SUM(D27:D36)</f>
        <v>4020674</v>
      </c>
      <c r="E37" s="223">
        <f>SUM(E27:E36)</f>
        <v>4020674</v>
      </c>
      <c r="F37" s="215"/>
    </row>
    <row r="38" spans="1:8" ht="13.5" thickBot="1" x14ac:dyDescent="0.25">
      <c r="A38" s="1564" t="s">
        <v>11</v>
      </c>
      <c r="B38" s="302" t="s">
        <v>88</v>
      </c>
      <c r="C38" s="300">
        <f>SUM(C27+C16+C5)</f>
        <v>86161905</v>
      </c>
      <c r="D38" s="300">
        <f t="shared" ref="D38:E38" si="1">SUM(D27+D16+D5)</f>
        <v>103537054</v>
      </c>
      <c r="E38" s="300">
        <f t="shared" si="1"/>
        <v>103344196</v>
      </c>
      <c r="F38" s="1164">
        <f>E38/D38*100</f>
        <v>99.813730454412962</v>
      </c>
    </row>
    <row r="39" spans="1:8" ht="26.25" thickBot="1" x14ac:dyDescent="0.25">
      <c r="A39" s="1565"/>
      <c r="B39" s="303" t="s">
        <v>101</v>
      </c>
      <c r="C39" s="300">
        <f t="shared" ref="C39:E39" si="2">SUM(C28+C17+C6)</f>
        <v>17677234</v>
      </c>
      <c r="D39" s="300">
        <f t="shared" si="2"/>
        <v>20166095</v>
      </c>
      <c r="E39" s="300">
        <f t="shared" si="2"/>
        <v>19710139</v>
      </c>
      <c r="F39" s="1164">
        <f>E39/D39*100</f>
        <v>97.738997064131652</v>
      </c>
    </row>
    <row r="40" spans="1:8" ht="13.5" thickBot="1" x14ac:dyDescent="0.25">
      <c r="A40" s="1565"/>
      <c r="B40" s="302" t="s">
        <v>90</v>
      </c>
      <c r="C40" s="300">
        <f t="shared" ref="C40:E40" si="3">SUM(C29+C18+C7)</f>
        <v>26098300</v>
      </c>
      <c r="D40" s="300">
        <f t="shared" si="3"/>
        <v>25971587</v>
      </c>
      <c r="E40" s="300">
        <f t="shared" si="3"/>
        <v>16535985</v>
      </c>
      <c r="F40" s="1164">
        <f>E40/D40*100</f>
        <v>63.669520849842563</v>
      </c>
      <c r="H40" s="31"/>
    </row>
    <row r="41" spans="1:8" ht="13.5" thickBot="1" x14ac:dyDescent="0.25">
      <c r="A41" s="1565"/>
      <c r="B41" s="304" t="s">
        <v>102</v>
      </c>
      <c r="C41" s="300">
        <f t="shared" ref="C41:E41" si="4">SUM(C30+C19+C8)</f>
        <v>0</v>
      </c>
      <c r="D41" s="300">
        <f t="shared" si="4"/>
        <v>0</v>
      </c>
      <c r="E41" s="300">
        <f t="shared" si="4"/>
        <v>0</v>
      </c>
      <c r="F41" s="1164"/>
    </row>
    <row r="42" spans="1:8" ht="26.25" thickBot="1" x14ac:dyDescent="0.25">
      <c r="A42" s="1565"/>
      <c r="B42" s="302" t="s">
        <v>97</v>
      </c>
      <c r="C42" s="300">
        <f t="shared" ref="C42:E42" si="5">SUM(C31+C20+C9)</f>
        <v>5024165</v>
      </c>
      <c r="D42" s="300">
        <f t="shared" si="5"/>
        <v>5024165</v>
      </c>
      <c r="E42" s="300">
        <f t="shared" si="5"/>
        <v>5024165</v>
      </c>
      <c r="F42" s="1165">
        <f>E42/D42*100</f>
        <v>100</v>
      </c>
    </row>
    <row r="43" spans="1:8" ht="13.5" thickBot="1" x14ac:dyDescent="0.25">
      <c r="A43" s="1565"/>
      <c r="B43" s="304" t="s">
        <v>627</v>
      </c>
      <c r="C43" s="300">
        <f t="shared" ref="C43:E43" si="6">SUM(C32+C21+C10)</f>
        <v>0</v>
      </c>
      <c r="D43" s="300">
        <f t="shared" si="6"/>
        <v>0</v>
      </c>
      <c r="E43" s="300">
        <f t="shared" si="6"/>
        <v>0</v>
      </c>
      <c r="F43" s="1164"/>
    </row>
    <row r="44" spans="1:8" ht="13.5" thickBot="1" x14ac:dyDescent="0.25">
      <c r="A44" s="1565"/>
      <c r="B44" s="302" t="s">
        <v>92</v>
      </c>
      <c r="C44" s="300">
        <f t="shared" ref="C44:E44" si="7">SUM(C33+C22+C11)</f>
        <v>2012000</v>
      </c>
      <c r="D44" s="300">
        <f t="shared" si="7"/>
        <v>2012000</v>
      </c>
      <c r="E44" s="300">
        <f t="shared" si="7"/>
        <v>1092950</v>
      </c>
      <c r="F44" s="1164">
        <f>E44/D44*100</f>
        <v>54.321570576540758</v>
      </c>
    </row>
    <row r="45" spans="1:8" ht="13.5" thickBot="1" x14ac:dyDescent="0.25">
      <c r="A45" s="1565"/>
      <c r="B45" s="304" t="s">
        <v>93</v>
      </c>
      <c r="C45" s="300">
        <f t="shared" ref="C45:E45" si="8">SUM(C34+C23+C12)</f>
        <v>0</v>
      </c>
      <c r="D45" s="300">
        <f t="shared" si="8"/>
        <v>0</v>
      </c>
      <c r="E45" s="300">
        <f t="shared" si="8"/>
        <v>0</v>
      </c>
      <c r="F45" s="1164"/>
    </row>
    <row r="46" spans="1:8" ht="13.5" thickBot="1" x14ac:dyDescent="0.25">
      <c r="A46" s="1565"/>
      <c r="B46" s="302" t="s">
        <v>94</v>
      </c>
      <c r="C46" s="300">
        <f t="shared" ref="C46:E46" si="9">SUM(C35+C24+C13)</f>
        <v>0</v>
      </c>
      <c r="D46" s="300">
        <f t="shared" si="9"/>
        <v>0</v>
      </c>
      <c r="E46" s="300">
        <f t="shared" si="9"/>
        <v>0</v>
      </c>
      <c r="F46" s="1164"/>
    </row>
    <row r="47" spans="1:8" ht="13.5" thickBot="1" x14ac:dyDescent="0.25">
      <c r="A47" s="1565"/>
      <c r="B47" s="305" t="s">
        <v>103</v>
      </c>
      <c r="C47" s="300">
        <f t="shared" ref="C47:E47" si="10">SUM(C36+C25+C14)</f>
        <v>0</v>
      </c>
      <c r="D47" s="300">
        <f t="shared" si="10"/>
        <v>0</v>
      </c>
      <c r="E47" s="300">
        <f t="shared" si="10"/>
        <v>0</v>
      </c>
      <c r="F47" s="1166"/>
    </row>
    <row r="48" spans="1:8" ht="13.5" thickBot="1" x14ac:dyDescent="0.25">
      <c r="A48" s="1566"/>
      <c r="B48" s="306" t="s">
        <v>14</v>
      </c>
      <c r="C48" s="301">
        <f>SUM(C38:C47)</f>
        <v>136973604</v>
      </c>
      <c r="D48" s="301">
        <f>SUM(D38:D47)</f>
        <v>156710901</v>
      </c>
      <c r="E48" s="301">
        <f>SUM(E38:E47)</f>
        <v>145707435</v>
      </c>
      <c r="F48" s="1164">
        <f>E48/D48*100</f>
        <v>92.978493563762996</v>
      </c>
      <c r="H48" s="31"/>
    </row>
    <row r="65" spans="3:3" x14ac:dyDescent="0.2">
      <c r="C65" s="823"/>
    </row>
  </sheetData>
  <mergeCells count="6">
    <mergeCell ref="A2:F2"/>
    <mergeCell ref="E3:F3"/>
    <mergeCell ref="A5:A15"/>
    <mergeCell ref="A16:A26"/>
    <mergeCell ref="A38:A48"/>
    <mergeCell ref="A27:A37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&amp;R2.2. sz. melléklet
.../2020.(VI.25.) Egyek Önk.</oddHeader>
  </headerFooter>
  <rowBreaks count="1" manualBreakCount="1">
    <brk id="52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topLeftCell="A7" zoomScaleNormal="100" workbookViewId="0">
      <selection activeCell="G16" sqref="G16"/>
    </sheetView>
  </sheetViews>
  <sheetFormatPr defaultRowHeight="12.75" x14ac:dyDescent="0.2"/>
  <cols>
    <col min="1" max="1" width="37.140625" customWidth="1"/>
    <col min="2" max="2" width="44.140625" customWidth="1"/>
    <col min="3" max="3" width="17.28515625" style="87" customWidth="1"/>
    <col min="4" max="4" width="21" style="87" customWidth="1"/>
    <col min="5" max="5" width="18" style="87" customWidth="1"/>
    <col min="6" max="6" width="12.5703125" style="84" customWidth="1"/>
    <col min="7" max="8" width="18" customWidth="1"/>
    <col min="9" max="9" width="12.5703125" customWidth="1"/>
    <col min="10" max="10" width="15.28515625" customWidth="1"/>
    <col min="12" max="12" width="10" bestFit="1" customWidth="1"/>
  </cols>
  <sheetData>
    <row r="2" spans="1:14" ht="59.25" customHeight="1" x14ac:dyDescent="0.2">
      <c r="A2" s="1560" t="s">
        <v>624</v>
      </c>
      <c r="B2" s="1560"/>
      <c r="C2" s="1560"/>
      <c r="D2" s="1560"/>
      <c r="E2" s="1560"/>
      <c r="F2" s="1560"/>
      <c r="G2" s="218"/>
      <c r="H2" s="218"/>
      <c r="I2" s="218"/>
    </row>
    <row r="3" spans="1:14" ht="12.75" customHeight="1" thickBot="1" x14ac:dyDescent="0.25">
      <c r="A3" s="218"/>
      <c r="B3" s="218"/>
      <c r="C3" s="226"/>
      <c r="D3" s="226"/>
      <c r="E3" s="1561" t="s">
        <v>529</v>
      </c>
      <c r="F3" s="1561"/>
      <c r="G3" s="218"/>
      <c r="H3" s="218"/>
      <c r="I3" s="218"/>
    </row>
    <row r="4" spans="1:14" ht="26.25" thickBot="1" x14ac:dyDescent="0.25">
      <c r="A4" s="164" t="s">
        <v>73</v>
      </c>
      <c r="B4" s="204" t="s">
        <v>24</v>
      </c>
      <c r="C4" s="225" t="s">
        <v>155</v>
      </c>
      <c r="D4" s="225" t="s">
        <v>148</v>
      </c>
      <c r="E4" s="225" t="s">
        <v>149</v>
      </c>
      <c r="F4" s="205" t="s">
        <v>150</v>
      </c>
    </row>
    <row r="5" spans="1:14" x14ac:dyDescent="0.2">
      <c r="A5" s="1548" t="s">
        <v>80</v>
      </c>
      <c r="B5" s="216" t="s">
        <v>88</v>
      </c>
      <c r="C5" s="221">
        <v>78383257</v>
      </c>
      <c r="D5" s="221">
        <v>91331685</v>
      </c>
      <c r="E5" s="221">
        <v>91281680</v>
      </c>
      <c r="F5" s="207">
        <f>E5/D5*100</f>
        <v>99.945249011884542</v>
      </c>
      <c r="G5" s="12"/>
      <c r="H5" s="13"/>
      <c r="I5" s="13"/>
      <c r="J5" s="13" t="s">
        <v>42</v>
      </c>
      <c r="K5" s="13"/>
      <c r="L5" s="14"/>
      <c r="M5" s="14"/>
      <c r="N5" s="14"/>
    </row>
    <row r="6" spans="1:14" ht="25.5" x14ac:dyDescent="0.2">
      <c r="A6" s="1549"/>
      <c r="B6" s="217" t="s">
        <v>101</v>
      </c>
      <c r="C6" s="222">
        <v>16066068</v>
      </c>
      <c r="D6" s="222">
        <v>17725880</v>
      </c>
      <c r="E6" s="222">
        <v>17348557</v>
      </c>
      <c r="F6" s="81">
        <f t="shared" ref="F6:F15" si="0">E6/D6*100</f>
        <v>97.8713440461066</v>
      </c>
      <c r="G6" s="15"/>
      <c r="H6" s="16"/>
      <c r="I6" s="16"/>
      <c r="J6" s="16"/>
      <c r="K6" s="16"/>
      <c r="L6" s="16"/>
      <c r="M6" s="16"/>
      <c r="N6" s="16"/>
    </row>
    <row r="7" spans="1:14" x14ac:dyDescent="0.2">
      <c r="A7" s="1549"/>
      <c r="B7" s="217" t="s">
        <v>90</v>
      </c>
      <c r="C7" s="222">
        <v>26098300</v>
      </c>
      <c r="D7" s="222">
        <v>25783171</v>
      </c>
      <c r="E7" s="222">
        <v>16347572</v>
      </c>
      <c r="F7" s="81">
        <f t="shared" si="0"/>
        <v>63.404039790140629</v>
      </c>
      <c r="G7" s="17"/>
      <c r="H7" s="28"/>
      <c r="I7" s="28"/>
      <c r="J7" s="28"/>
      <c r="K7" s="28"/>
      <c r="L7" s="4"/>
      <c r="M7" s="4"/>
      <c r="N7" s="4"/>
    </row>
    <row r="8" spans="1:14" x14ac:dyDescent="0.2">
      <c r="A8" s="1549"/>
      <c r="B8" s="217" t="s">
        <v>102</v>
      </c>
      <c r="C8" s="222"/>
      <c r="D8" s="222"/>
      <c r="E8" s="222"/>
      <c r="F8" s="81"/>
      <c r="G8" s="17"/>
      <c r="H8" s="28"/>
      <c r="I8" s="28"/>
      <c r="J8" s="29"/>
      <c r="K8" s="28"/>
      <c r="L8" s="4"/>
      <c r="M8" s="4"/>
      <c r="N8" s="4"/>
    </row>
    <row r="9" spans="1:14" ht="25.5" x14ac:dyDescent="0.2">
      <c r="A9" s="1549"/>
      <c r="B9" s="217" t="s">
        <v>97</v>
      </c>
      <c r="C9" s="222">
        <v>5024165</v>
      </c>
      <c r="D9" s="222">
        <v>5024165</v>
      </c>
      <c r="E9" s="222">
        <v>5024165</v>
      </c>
      <c r="F9" s="81">
        <f t="shared" si="0"/>
        <v>100</v>
      </c>
      <c r="G9" s="17"/>
      <c r="H9" s="28"/>
      <c r="I9" s="28"/>
      <c r="J9" s="28"/>
      <c r="K9" s="28"/>
      <c r="L9" s="4"/>
      <c r="M9" s="4"/>
      <c r="N9" s="4"/>
    </row>
    <row r="10" spans="1:14" x14ac:dyDescent="0.2">
      <c r="A10" s="1549"/>
      <c r="B10" s="217" t="s">
        <v>627</v>
      </c>
      <c r="C10" s="222"/>
      <c r="D10" s="222"/>
      <c r="E10" s="222"/>
      <c r="F10" s="81"/>
      <c r="G10" s="17"/>
      <c r="H10" s="28"/>
      <c r="I10" s="28"/>
      <c r="J10" s="28"/>
      <c r="K10" s="28"/>
      <c r="L10" s="4"/>
      <c r="M10" s="4"/>
      <c r="N10" s="4"/>
    </row>
    <row r="11" spans="1:14" x14ac:dyDescent="0.2">
      <c r="A11" s="1549"/>
      <c r="B11" s="217" t="s">
        <v>92</v>
      </c>
      <c r="C11" s="222">
        <v>2012000</v>
      </c>
      <c r="D11" s="222">
        <v>2012000</v>
      </c>
      <c r="E11" s="222">
        <v>1090791</v>
      </c>
      <c r="F11" s="81">
        <f t="shared" si="0"/>
        <v>54.21426441351889</v>
      </c>
      <c r="G11" s="17"/>
      <c r="H11" s="28"/>
      <c r="I11" s="28"/>
      <c r="J11" s="28"/>
      <c r="K11" s="28"/>
      <c r="L11" s="4"/>
      <c r="M11" s="4"/>
      <c r="N11" s="4"/>
    </row>
    <row r="12" spans="1:14" x14ac:dyDescent="0.2">
      <c r="A12" s="1549"/>
      <c r="B12" s="217" t="s">
        <v>93</v>
      </c>
      <c r="C12" s="78"/>
      <c r="D12" s="78"/>
      <c r="E12" s="83"/>
      <c r="F12" s="81"/>
      <c r="G12" s="17"/>
      <c r="H12" s="28"/>
      <c r="I12" s="28"/>
      <c r="J12" s="28"/>
      <c r="K12" s="28"/>
      <c r="L12" s="4"/>
      <c r="M12" s="4"/>
      <c r="N12" s="4"/>
    </row>
    <row r="13" spans="1:14" x14ac:dyDescent="0.2">
      <c r="A13" s="1549"/>
      <c r="B13" s="217" t="s">
        <v>94</v>
      </c>
      <c r="C13" s="78"/>
      <c r="D13" s="78"/>
      <c r="E13" s="83"/>
      <c r="F13" s="81"/>
      <c r="G13" s="17"/>
      <c r="H13" s="28"/>
      <c r="I13" s="28"/>
      <c r="J13" s="28"/>
      <c r="K13" s="28"/>
      <c r="L13" s="4"/>
      <c r="M13" s="4"/>
      <c r="N13" s="4"/>
    </row>
    <row r="14" spans="1:14" ht="13.5" thickBot="1" x14ac:dyDescent="0.25">
      <c r="A14" s="1549"/>
      <c r="B14" s="209" t="s">
        <v>103</v>
      </c>
      <c r="C14" s="210"/>
      <c r="D14" s="210"/>
      <c r="E14" s="211"/>
      <c r="F14" s="212"/>
      <c r="G14" s="17"/>
      <c r="H14" s="28"/>
      <c r="I14" s="28"/>
      <c r="J14" s="28"/>
      <c r="K14" s="28"/>
      <c r="L14" s="4"/>
      <c r="M14" s="4"/>
      <c r="N14" s="4"/>
    </row>
    <row r="15" spans="1:14" ht="13.5" thickBot="1" x14ac:dyDescent="0.25">
      <c r="A15" s="1549"/>
      <c r="B15" s="848" t="s">
        <v>14</v>
      </c>
      <c r="C15" s="801">
        <f>SUM(C5:C14)</f>
        <v>127583790</v>
      </c>
      <c r="D15" s="801">
        <f>SUM(D5:D14)</f>
        <v>141876901</v>
      </c>
      <c r="E15" s="801">
        <f>SUM(E5:E14)</f>
        <v>131092765</v>
      </c>
      <c r="F15" s="923">
        <f t="shared" si="0"/>
        <v>92.398948719636891</v>
      </c>
      <c r="G15" s="17"/>
      <c r="H15" s="28"/>
      <c r="I15" s="28"/>
      <c r="J15" s="28"/>
      <c r="K15" s="28"/>
      <c r="L15" s="4"/>
      <c r="M15" s="4"/>
      <c r="N15" s="4"/>
    </row>
    <row r="16" spans="1:14" x14ac:dyDescent="0.2">
      <c r="A16" s="1562" t="s">
        <v>81</v>
      </c>
      <c r="B16" s="206" t="s">
        <v>88</v>
      </c>
      <c r="C16" s="221">
        <v>7778648</v>
      </c>
      <c r="D16" s="221">
        <v>8994341</v>
      </c>
      <c r="E16" s="221">
        <v>8851488</v>
      </c>
      <c r="F16" s="207">
        <f>E16/D16*100</f>
        <v>98.411745785488904</v>
      </c>
      <c r="G16" s="17"/>
      <c r="H16" s="28"/>
      <c r="I16" s="28"/>
      <c r="J16" s="28"/>
      <c r="K16" s="28"/>
      <c r="L16" s="4"/>
      <c r="M16" s="4"/>
      <c r="N16" s="4"/>
    </row>
    <row r="17" spans="1:14" ht="25.5" x14ac:dyDescent="0.2">
      <c r="A17" s="1563"/>
      <c r="B17" s="208" t="s">
        <v>101</v>
      </c>
      <c r="C17" s="222">
        <v>1611166</v>
      </c>
      <c r="D17" s="222">
        <v>1818985</v>
      </c>
      <c r="E17" s="222">
        <v>1740349</v>
      </c>
      <c r="F17" s="81">
        <f>E17/D17*100</f>
        <v>95.676929716297821</v>
      </c>
      <c r="G17" s="17"/>
      <c r="H17" s="28"/>
      <c r="I17" s="28"/>
      <c r="J17" s="28"/>
      <c r="K17" s="28"/>
      <c r="L17" s="4"/>
      <c r="M17" s="4"/>
      <c r="N17" s="4"/>
    </row>
    <row r="18" spans="1:14" x14ac:dyDescent="0.2">
      <c r="A18" s="1563"/>
      <c r="B18" s="208" t="s">
        <v>90</v>
      </c>
      <c r="C18" s="222"/>
      <c r="D18" s="222"/>
      <c r="E18" s="222"/>
      <c r="F18" s="81"/>
      <c r="G18" s="17"/>
      <c r="H18" s="28"/>
      <c r="I18" s="28"/>
      <c r="J18" s="28"/>
      <c r="K18" s="28"/>
      <c r="L18" s="4"/>
      <c r="M18" s="4"/>
      <c r="N18" s="4"/>
    </row>
    <row r="19" spans="1:14" x14ac:dyDescent="0.2">
      <c r="A19" s="1563"/>
      <c r="B19" s="208" t="s">
        <v>102</v>
      </c>
      <c r="C19" s="222"/>
      <c r="D19" s="222"/>
      <c r="E19" s="222"/>
      <c r="F19" s="81"/>
      <c r="G19" s="17"/>
      <c r="H19" s="28"/>
      <c r="I19" s="28"/>
      <c r="J19" s="28"/>
      <c r="K19" s="28"/>
      <c r="L19" s="4"/>
      <c r="M19" s="4"/>
      <c r="N19" s="4"/>
    </row>
    <row r="20" spans="1:14" ht="25.5" x14ac:dyDescent="0.2">
      <c r="A20" s="1563"/>
      <c r="B20" s="208" t="s">
        <v>97</v>
      </c>
      <c r="C20" s="222"/>
      <c r="D20" s="222"/>
      <c r="E20" s="222"/>
      <c r="F20" s="81"/>
      <c r="G20" s="15"/>
      <c r="H20" s="30"/>
      <c r="I20" s="30"/>
      <c r="J20" s="30"/>
      <c r="K20" s="30"/>
      <c r="L20" s="4"/>
      <c r="M20" s="4"/>
      <c r="N20" s="4"/>
    </row>
    <row r="21" spans="1:14" x14ac:dyDescent="0.2">
      <c r="A21" s="1563"/>
      <c r="B21" s="208" t="s">
        <v>627</v>
      </c>
      <c r="C21" s="222"/>
      <c r="D21" s="222"/>
      <c r="E21" s="222"/>
      <c r="F21" s="81"/>
      <c r="H21" s="1"/>
      <c r="I21" s="1"/>
      <c r="J21" s="1"/>
      <c r="K21" s="1"/>
      <c r="L21" s="1"/>
      <c r="M21" s="1"/>
      <c r="N21" s="1"/>
    </row>
    <row r="22" spans="1:14" x14ac:dyDescent="0.2">
      <c r="A22" s="1563"/>
      <c r="B22" s="208" t="s">
        <v>92</v>
      </c>
      <c r="C22" s="222"/>
      <c r="D22" s="222"/>
      <c r="E22" s="222">
        <v>2159</v>
      </c>
      <c r="F22" s="81"/>
      <c r="H22" s="1"/>
      <c r="I22" s="1"/>
      <c r="J22" s="1"/>
      <c r="K22" s="1"/>
      <c r="L22" s="1"/>
      <c r="M22" s="1"/>
      <c r="N22" s="1"/>
    </row>
    <row r="23" spans="1:14" x14ac:dyDescent="0.2">
      <c r="A23" s="1563"/>
      <c r="B23" s="208" t="s">
        <v>93</v>
      </c>
      <c r="C23" s="78"/>
      <c r="D23" s="78"/>
      <c r="E23" s="83"/>
      <c r="F23" s="81"/>
    </row>
    <row r="24" spans="1:14" x14ac:dyDescent="0.2">
      <c r="A24" s="1563"/>
      <c r="B24" s="208" t="s">
        <v>94</v>
      </c>
      <c r="C24" s="78"/>
      <c r="D24" s="78"/>
      <c r="E24" s="83"/>
      <c r="F24" s="81"/>
    </row>
    <row r="25" spans="1:14" ht="13.5" thickBot="1" x14ac:dyDescent="0.25">
      <c r="A25" s="1563"/>
      <c r="B25" s="213" t="s">
        <v>103</v>
      </c>
      <c r="C25" s="210"/>
      <c r="D25" s="210"/>
      <c r="E25" s="211"/>
      <c r="F25" s="212"/>
    </row>
    <row r="26" spans="1:14" ht="13.5" thickBot="1" x14ac:dyDescent="0.25">
      <c r="A26" s="1563"/>
      <c r="B26" s="214" t="s">
        <v>14</v>
      </c>
      <c r="C26" s="223">
        <f>SUM(C16:C25)</f>
        <v>9389814</v>
      </c>
      <c r="D26" s="223">
        <f>SUM(D16:D25)</f>
        <v>10813326</v>
      </c>
      <c r="E26" s="223">
        <f>SUM(E16:E25)</f>
        <v>10593996</v>
      </c>
      <c r="F26" s="215">
        <f>E26/D26*100</f>
        <v>97.97166940125544</v>
      </c>
    </row>
    <row r="27" spans="1:14" x14ac:dyDescent="0.2">
      <c r="A27" s="1564" t="s">
        <v>616</v>
      </c>
      <c r="B27" s="206" t="s">
        <v>88</v>
      </c>
      <c r="C27" s="221"/>
      <c r="D27" s="221">
        <v>3211028</v>
      </c>
      <c r="E27" s="221">
        <v>3211028</v>
      </c>
      <c r="F27" s="207"/>
    </row>
    <row r="28" spans="1:14" ht="25.5" x14ac:dyDescent="0.2">
      <c r="A28" s="1565"/>
      <c r="B28" s="208" t="s">
        <v>101</v>
      </c>
      <c r="C28" s="222"/>
      <c r="D28" s="222">
        <v>621230</v>
      </c>
      <c r="E28" s="222">
        <v>621233</v>
      </c>
      <c r="F28" s="81"/>
    </row>
    <row r="29" spans="1:14" x14ac:dyDescent="0.2">
      <c r="A29" s="1565"/>
      <c r="B29" s="208" t="s">
        <v>90</v>
      </c>
      <c r="C29" s="222"/>
      <c r="D29" s="222">
        <v>188416</v>
      </c>
      <c r="E29" s="222">
        <v>188413</v>
      </c>
      <c r="F29" s="81"/>
    </row>
    <row r="30" spans="1:14" x14ac:dyDescent="0.2">
      <c r="A30" s="1565"/>
      <c r="B30" s="208" t="s">
        <v>102</v>
      </c>
      <c r="C30" s="222"/>
      <c r="D30" s="222"/>
      <c r="E30" s="222"/>
      <c r="F30" s="81"/>
    </row>
    <row r="31" spans="1:14" ht="25.5" x14ac:dyDescent="0.2">
      <c r="A31" s="1565"/>
      <c r="B31" s="208" t="s">
        <v>97</v>
      </c>
      <c r="C31" s="222"/>
      <c r="D31" s="222"/>
      <c r="E31" s="222"/>
      <c r="F31" s="81"/>
    </row>
    <row r="32" spans="1:14" x14ac:dyDescent="0.2">
      <c r="A32" s="1565"/>
      <c r="B32" s="208" t="s">
        <v>627</v>
      </c>
      <c r="C32" s="222"/>
      <c r="D32" s="222"/>
      <c r="E32" s="222"/>
      <c r="F32" s="81"/>
    </row>
    <row r="33" spans="1:8" x14ac:dyDescent="0.2">
      <c r="A33" s="1565"/>
      <c r="B33" s="208" t="s">
        <v>92</v>
      </c>
      <c r="C33" s="222"/>
      <c r="D33" s="222"/>
      <c r="E33" s="222"/>
      <c r="F33" s="81"/>
    </row>
    <row r="34" spans="1:8" x14ac:dyDescent="0.2">
      <c r="A34" s="1565"/>
      <c r="B34" s="208" t="s">
        <v>93</v>
      </c>
      <c r="C34" s="78"/>
      <c r="D34" s="78"/>
      <c r="E34" s="83"/>
      <c r="F34" s="81"/>
    </row>
    <row r="35" spans="1:8" x14ac:dyDescent="0.2">
      <c r="A35" s="1565"/>
      <c r="B35" s="208" t="s">
        <v>94</v>
      </c>
      <c r="C35" s="78"/>
      <c r="D35" s="78"/>
      <c r="E35" s="83"/>
      <c r="F35" s="81"/>
    </row>
    <row r="36" spans="1:8" ht="13.5" thickBot="1" x14ac:dyDescent="0.25">
      <c r="A36" s="1565"/>
      <c r="B36" s="213" t="s">
        <v>103</v>
      </c>
      <c r="C36" s="210"/>
      <c r="D36" s="210"/>
      <c r="E36" s="211"/>
      <c r="F36" s="212"/>
    </row>
    <row r="37" spans="1:8" ht="13.5" thickBot="1" x14ac:dyDescent="0.25">
      <c r="A37" s="1566"/>
      <c r="B37" s="214" t="s">
        <v>14</v>
      </c>
      <c r="C37" s="223">
        <f>SUM(C27:C36)</f>
        <v>0</v>
      </c>
      <c r="D37" s="223">
        <f>SUM(D27:D36)</f>
        <v>4020674</v>
      </c>
      <c r="E37" s="223">
        <f>SUM(E27:E36)</f>
        <v>4020674</v>
      </c>
      <c r="F37" s="215"/>
    </row>
    <row r="38" spans="1:8" ht="13.5" thickBot="1" x14ac:dyDescent="0.25">
      <c r="A38" s="1564" t="s">
        <v>11</v>
      </c>
      <c r="B38" s="302" t="s">
        <v>88</v>
      </c>
      <c r="C38" s="300">
        <f>SUM(C27+C16+C5)</f>
        <v>86161905</v>
      </c>
      <c r="D38" s="300">
        <f t="shared" ref="D38:E38" si="1">SUM(D27+D16+D5)</f>
        <v>103537054</v>
      </c>
      <c r="E38" s="300">
        <f t="shared" si="1"/>
        <v>103344196</v>
      </c>
      <c r="F38" s="1164">
        <f>E38/D38*100</f>
        <v>99.813730454412962</v>
      </c>
    </row>
    <row r="39" spans="1:8" ht="26.25" thickBot="1" x14ac:dyDescent="0.25">
      <c r="A39" s="1565"/>
      <c r="B39" s="303" t="s">
        <v>101</v>
      </c>
      <c r="C39" s="300">
        <f t="shared" ref="C39:E47" si="2">SUM(C28+C17+C6)</f>
        <v>17677234</v>
      </c>
      <c r="D39" s="300">
        <f t="shared" si="2"/>
        <v>20166095</v>
      </c>
      <c r="E39" s="300">
        <f t="shared" si="2"/>
        <v>19710139</v>
      </c>
      <c r="F39" s="1164">
        <f>E39/D39*100</f>
        <v>97.738997064131652</v>
      </c>
    </row>
    <row r="40" spans="1:8" ht="13.5" thickBot="1" x14ac:dyDescent="0.25">
      <c r="A40" s="1565"/>
      <c r="B40" s="302" t="s">
        <v>90</v>
      </c>
      <c r="C40" s="300">
        <f t="shared" si="2"/>
        <v>26098300</v>
      </c>
      <c r="D40" s="300">
        <f t="shared" si="2"/>
        <v>25971587</v>
      </c>
      <c r="E40" s="300">
        <f t="shared" si="2"/>
        <v>16535985</v>
      </c>
      <c r="F40" s="1164">
        <f>E40/D40*100</f>
        <v>63.669520849842563</v>
      </c>
      <c r="H40" s="31"/>
    </row>
    <row r="41" spans="1:8" ht="13.5" thickBot="1" x14ac:dyDescent="0.25">
      <c r="A41" s="1565"/>
      <c r="B41" s="304" t="s">
        <v>102</v>
      </c>
      <c r="C41" s="300">
        <f t="shared" si="2"/>
        <v>0</v>
      </c>
      <c r="D41" s="300">
        <f t="shared" si="2"/>
        <v>0</v>
      </c>
      <c r="E41" s="300">
        <f t="shared" si="2"/>
        <v>0</v>
      </c>
      <c r="F41" s="1164"/>
    </row>
    <row r="42" spans="1:8" ht="26.25" thickBot="1" x14ac:dyDescent="0.25">
      <c r="A42" s="1565"/>
      <c r="B42" s="302" t="s">
        <v>97</v>
      </c>
      <c r="C42" s="300">
        <f t="shared" si="2"/>
        <v>5024165</v>
      </c>
      <c r="D42" s="300">
        <f t="shared" si="2"/>
        <v>5024165</v>
      </c>
      <c r="E42" s="300">
        <f t="shared" si="2"/>
        <v>5024165</v>
      </c>
      <c r="F42" s="1165">
        <f>E42/D42*100</f>
        <v>100</v>
      </c>
    </row>
    <row r="43" spans="1:8" ht="13.5" thickBot="1" x14ac:dyDescent="0.25">
      <c r="A43" s="1565"/>
      <c r="B43" s="304" t="s">
        <v>627</v>
      </c>
      <c r="C43" s="300">
        <f t="shared" si="2"/>
        <v>0</v>
      </c>
      <c r="D43" s="300">
        <f t="shared" si="2"/>
        <v>0</v>
      </c>
      <c r="E43" s="300">
        <f t="shared" si="2"/>
        <v>0</v>
      </c>
      <c r="F43" s="1164"/>
    </row>
    <row r="44" spans="1:8" ht="13.5" thickBot="1" x14ac:dyDescent="0.25">
      <c r="A44" s="1565"/>
      <c r="B44" s="302" t="s">
        <v>92</v>
      </c>
      <c r="C44" s="300">
        <f t="shared" si="2"/>
        <v>2012000</v>
      </c>
      <c r="D44" s="300">
        <f t="shared" si="2"/>
        <v>2012000</v>
      </c>
      <c r="E44" s="300">
        <f t="shared" si="2"/>
        <v>1092950</v>
      </c>
      <c r="F44" s="1164">
        <f>E44/D44*100</f>
        <v>54.321570576540758</v>
      </c>
    </row>
    <row r="45" spans="1:8" ht="13.5" thickBot="1" x14ac:dyDescent="0.25">
      <c r="A45" s="1565"/>
      <c r="B45" s="304" t="s">
        <v>93</v>
      </c>
      <c r="C45" s="300">
        <f t="shared" si="2"/>
        <v>0</v>
      </c>
      <c r="D45" s="300">
        <f t="shared" si="2"/>
        <v>0</v>
      </c>
      <c r="E45" s="300">
        <f t="shared" si="2"/>
        <v>0</v>
      </c>
      <c r="F45" s="1164"/>
    </row>
    <row r="46" spans="1:8" ht="13.5" thickBot="1" x14ac:dyDescent="0.25">
      <c r="A46" s="1565"/>
      <c r="B46" s="302" t="s">
        <v>94</v>
      </c>
      <c r="C46" s="300">
        <f t="shared" si="2"/>
        <v>0</v>
      </c>
      <c r="D46" s="300">
        <f t="shared" si="2"/>
        <v>0</v>
      </c>
      <c r="E46" s="300">
        <f t="shared" si="2"/>
        <v>0</v>
      </c>
      <c r="F46" s="1164"/>
    </row>
    <row r="47" spans="1:8" ht="13.5" thickBot="1" x14ac:dyDescent="0.25">
      <c r="A47" s="1565"/>
      <c r="B47" s="305" t="s">
        <v>103</v>
      </c>
      <c r="C47" s="300">
        <f t="shared" si="2"/>
        <v>0</v>
      </c>
      <c r="D47" s="300">
        <f t="shared" si="2"/>
        <v>0</v>
      </c>
      <c r="E47" s="300">
        <f t="shared" si="2"/>
        <v>0</v>
      </c>
      <c r="F47" s="1166"/>
    </row>
    <row r="48" spans="1:8" ht="13.5" thickBot="1" x14ac:dyDescent="0.25">
      <c r="A48" s="1566"/>
      <c r="B48" s="306" t="s">
        <v>14</v>
      </c>
      <c r="C48" s="301">
        <f>SUM(C38:C47)</f>
        <v>136973604</v>
      </c>
      <c r="D48" s="301">
        <f>SUM(D38:D47)</f>
        <v>156710901</v>
      </c>
      <c r="E48" s="301">
        <f>SUM(E38:E47)</f>
        <v>145707435</v>
      </c>
      <c r="F48" s="1164">
        <f>E48/D48*100</f>
        <v>92.978493563762996</v>
      </c>
      <c r="H48" s="31"/>
    </row>
    <row r="65" spans="3:3" x14ac:dyDescent="0.2">
      <c r="C65" s="823"/>
    </row>
  </sheetData>
  <mergeCells count="6">
    <mergeCell ref="A38:A48"/>
    <mergeCell ref="A2:F2"/>
    <mergeCell ref="E3:F3"/>
    <mergeCell ref="A5:A15"/>
    <mergeCell ref="A16:A26"/>
    <mergeCell ref="A27:A37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&amp;R2.2. sz. melléklet
.../2020.(VI.25.) Egyek Önk.</oddHeader>
  </headerFooter>
  <rowBreaks count="1" manualBreakCount="1">
    <brk id="52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F62"/>
  <sheetViews>
    <sheetView zoomScale="110" zoomScaleNormal="110" workbookViewId="0">
      <selection activeCell="A19" sqref="A19:A29"/>
    </sheetView>
  </sheetViews>
  <sheetFormatPr defaultRowHeight="12.75" x14ac:dyDescent="0.2"/>
  <cols>
    <col min="1" max="1" width="46.42578125" customWidth="1"/>
    <col min="2" max="2" width="37.42578125" customWidth="1"/>
    <col min="3" max="3" width="15.140625" style="224" customWidth="1"/>
    <col min="4" max="4" width="13.7109375" style="224" customWidth="1"/>
    <col min="5" max="5" width="19.7109375" style="224" customWidth="1"/>
    <col min="6" max="6" width="14.42578125" customWidth="1"/>
    <col min="7" max="7" width="14.5703125" customWidth="1"/>
    <col min="12" max="12" width="12" customWidth="1"/>
  </cols>
  <sheetData>
    <row r="1" spans="1:6" ht="15.75" customHeight="1" x14ac:dyDescent="0.2">
      <c r="A1" s="1567" t="s">
        <v>625</v>
      </c>
      <c r="B1" s="1567"/>
      <c r="C1" s="1567"/>
      <c r="D1" s="1567"/>
      <c r="E1" s="1567"/>
      <c r="F1" s="1567"/>
    </row>
    <row r="2" spans="1:6" x14ac:dyDescent="0.2">
      <c r="A2" s="1567"/>
      <c r="B2" s="1567"/>
      <c r="C2" s="1567"/>
      <c r="D2" s="1567"/>
      <c r="E2" s="1567"/>
      <c r="F2" s="1567"/>
    </row>
    <row r="3" spans="1:6" x14ac:dyDescent="0.2">
      <c r="A3" s="3"/>
      <c r="B3" s="3"/>
      <c r="C3" s="227"/>
      <c r="D3" s="227"/>
      <c r="E3" s="227"/>
      <c r="F3" s="3"/>
    </row>
    <row r="4" spans="1:6" x14ac:dyDescent="0.2">
      <c r="A4" s="3"/>
      <c r="B4" s="3"/>
      <c r="C4" s="227"/>
      <c r="D4" s="227"/>
      <c r="E4" s="227"/>
      <c r="F4" s="3"/>
    </row>
    <row r="5" spans="1:6" x14ac:dyDescent="0.2">
      <c r="A5" s="3"/>
      <c r="B5" s="3"/>
      <c r="C5" s="227"/>
      <c r="D5" s="227"/>
      <c r="E5" s="227"/>
      <c r="F5" s="3"/>
    </row>
    <row r="6" spans="1:6" ht="13.5" thickBot="1" x14ac:dyDescent="0.25">
      <c r="F6" t="s">
        <v>184</v>
      </c>
    </row>
    <row r="7" spans="1:6" ht="26.25" thickBot="1" x14ac:dyDescent="0.25">
      <c r="A7" s="164" t="s">
        <v>73</v>
      </c>
      <c r="B7" s="204" t="s">
        <v>24</v>
      </c>
      <c r="C7" s="225" t="s">
        <v>155</v>
      </c>
      <c r="D7" s="225" t="s">
        <v>148</v>
      </c>
      <c r="E7" s="225" t="s">
        <v>149</v>
      </c>
      <c r="F7" s="205" t="s">
        <v>150</v>
      </c>
    </row>
    <row r="8" spans="1:6" x14ac:dyDescent="0.2">
      <c r="A8" s="1548" t="s">
        <v>82</v>
      </c>
      <c r="B8" s="216" t="s">
        <v>88</v>
      </c>
      <c r="C8" s="221"/>
      <c r="D8" s="221"/>
      <c r="E8" s="221"/>
      <c r="F8" s="1167"/>
    </row>
    <row r="9" spans="1:6" ht="25.5" x14ac:dyDescent="0.2">
      <c r="A9" s="1549"/>
      <c r="B9" s="217" t="s">
        <v>101</v>
      </c>
      <c r="C9" s="222"/>
      <c r="D9" s="222"/>
      <c r="E9" s="222"/>
      <c r="F9" s="1168"/>
    </row>
    <row r="10" spans="1:6" x14ac:dyDescent="0.2">
      <c r="A10" s="1549"/>
      <c r="B10" s="217" t="s">
        <v>90</v>
      </c>
      <c r="C10" s="222">
        <v>653000</v>
      </c>
      <c r="D10" s="222">
        <v>653000</v>
      </c>
      <c r="E10" s="222">
        <v>652180</v>
      </c>
      <c r="F10" s="1168">
        <f>E10/D10*100</f>
        <v>99.874425727411946</v>
      </c>
    </row>
    <row r="11" spans="1:6" x14ac:dyDescent="0.2">
      <c r="A11" s="1549"/>
      <c r="B11" s="217" t="s">
        <v>102</v>
      </c>
      <c r="C11" s="222"/>
      <c r="D11" s="222"/>
      <c r="E11" s="222"/>
      <c r="F11" s="1168"/>
    </row>
    <row r="12" spans="1:6" ht="25.5" x14ac:dyDescent="0.2">
      <c r="A12" s="1549"/>
      <c r="B12" s="217" t="s">
        <v>97</v>
      </c>
      <c r="C12" s="222"/>
      <c r="D12" s="222"/>
      <c r="E12" s="222"/>
      <c r="F12" s="1168"/>
    </row>
    <row r="13" spans="1:6" x14ac:dyDescent="0.2">
      <c r="A13" s="1549"/>
      <c r="B13" s="217" t="s">
        <v>627</v>
      </c>
      <c r="C13" s="222"/>
      <c r="D13" s="222"/>
      <c r="E13" s="222"/>
      <c r="F13" s="1168"/>
    </row>
    <row r="14" spans="1:6" x14ac:dyDescent="0.2">
      <c r="A14" s="1549"/>
      <c r="B14" s="217" t="s">
        <v>92</v>
      </c>
      <c r="C14" s="222"/>
      <c r="D14" s="222"/>
      <c r="E14" s="222"/>
      <c r="F14" s="1168"/>
    </row>
    <row r="15" spans="1:6" x14ac:dyDescent="0.2">
      <c r="A15" s="1549"/>
      <c r="B15" s="217" t="s">
        <v>93</v>
      </c>
      <c r="C15" s="78"/>
      <c r="D15" s="78"/>
      <c r="E15" s="83"/>
      <c r="F15" s="1168"/>
    </row>
    <row r="16" spans="1:6" x14ac:dyDescent="0.2">
      <c r="A16" s="1549"/>
      <c r="B16" s="217" t="s">
        <v>94</v>
      </c>
      <c r="C16" s="78"/>
      <c r="D16" s="78"/>
      <c r="E16" s="83"/>
      <c r="F16" s="1168"/>
    </row>
    <row r="17" spans="1:6" ht="13.5" thickBot="1" x14ac:dyDescent="0.25">
      <c r="A17" s="1549"/>
      <c r="B17" s="209" t="s">
        <v>103</v>
      </c>
      <c r="C17" s="210"/>
      <c r="D17" s="210"/>
      <c r="E17" s="211"/>
      <c r="F17" s="212"/>
    </row>
    <row r="18" spans="1:6" ht="13.5" thickBot="1" x14ac:dyDescent="0.25">
      <c r="A18" s="1549"/>
      <c r="B18" s="214" t="s">
        <v>14</v>
      </c>
      <c r="C18" s="223">
        <f>SUM(C8:C17)</f>
        <v>653000</v>
      </c>
      <c r="D18" s="223">
        <f>SUM(D8:D17)</f>
        <v>653000</v>
      </c>
      <c r="E18" s="223">
        <f>SUM(E8:E17)</f>
        <v>652180</v>
      </c>
      <c r="F18" s="215">
        <f>E18/D18*100</f>
        <v>99.874425727411946</v>
      </c>
    </row>
    <row r="19" spans="1:6" x14ac:dyDescent="0.2">
      <c r="A19" s="1562" t="s">
        <v>83</v>
      </c>
      <c r="B19" s="206" t="s">
        <v>88</v>
      </c>
      <c r="C19" s="221">
        <v>6164295</v>
      </c>
      <c r="D19" s="221">
        <v>6613643</v>
      </c>
      <c r="E19" s="221">
        <v>4936891</v>
      </c>
      <c r="F19" s="1167">
        <f>E19/D19*100</f>
        <v>74.647074237300075</v>
      </c>
    </row>
    <row r="20" spans="1:6" ht="25.5" x14ac:dyDescent="0.2">
      <c r="A20" s="1563"/>
      <c r="B20" s="208" t="s">
        <v>101</v>
      </c>
      <c r="C20" s="222">
        <v>1202000</v>
      </c>
      <c r="D20" s="222">
        <v>1286656</v>
      </c>
      <c r="E20" s="222">
        <v>930409</v>
      </c>
      <c r="F20" s="1168">
        <f t="shared" ref="F20:F29" si="0">E20/D20*100</f>
        <v>72.31217979009152</v>
      </c>
    </row>
    <row r="21" spans="1:6" x14ac:dyDescent="0.2">
      <c r="A21" s="1563"/>
      <c r="B21" s="208" t="s">
        <v>90</v>
      </c>
      <c r="C21" s="222">
        <v>4245000</v>
      </c>
      <c r="D21" s="222">
        <v>4293800</v>
      </c>
      <c r="E21" s="222">
        <v>3252130</v>
      </c>
      <c r="F21" s="1168">
        <f t="shared" si="0"/>
        <v>75.740136941636777</v>
      </c>
    </row>
    <row r="22" spans="1:6" x14ac:dyDescent="0.2">
      <c r="A22" s="1563"/>
      <c r="B22" s="208" t="s">
        <v>102</v>
      </c>
      <c r="C22" s="222"/>
      <c r="D22" s="222"/>
      <c r="E22" s="222"/>
      <c r="F22" s="1168"/>
    </row>
    <row r="23" spans="1:6" ht="25.5" x14ac:dyDescent="0.2">
      <c r="A23" s="1563"/>
      <c r="B23" s="208" t="s">
        <v>97</v>
      </c>
      <c r="C23" s="222">
        <v>290716</v>
      </c>
      <c r="D23" s="222">
        <v>290716</v>
      </c>
      <c r="E23" s="222">
        <v>267815</v>
      </c>
      <c r="F23" s="1168">
        <f t="shared" si="0"/>
        <v>92.122552594284457</v>
      </c>
    </row>
    <row r="24" spans="1:6" x14ac:dyDescent="0.2">
      <c r="A24" s="1563"/>
      <c r="B24" s="208" t="s">
        <v>627</v>
      </c>
      <c r="C24" s="222"/>
      <c r="D24" s="222"/>
      <c r="E24" s="222"/>
      <c r="F24" s="1168"/>
    </row>
    <row r="25" spans="1:6" x14ac:dyDescent="0.2">
      <c r="A25" s="1563"/>
      <c r="B25" s="208" t="s">
        <v>92</v>
      </c>
      <c r="C25" s="222">
        <v>25400</v>
      </c>
      <c r="D25" s="222">
        <v>25400</v>
      </c>
      <c r="E25" s="222">
        <v>24960</v>
      </c>
      <c r="F25" s="1168">
        <f t="shared" si="0"/>
        <v>98.267716535433067</v>
      </c>
    </row>
    <row r="26" spans="1:6" x14ac:dyDescent="0.2">
      <c r="A26" s="1563"/>
      <c r="B26" s="208" t="s">
        <v>93</v>
      </c>
      <c r="C26" s="78"/>
      <c r="D26" s="78"/>
      <c r="E26" s="83"/>
      <c r="F26" s="81"/>
    </row>
    <row r="27" spans="1:6" x14ac:dyDescent="0.2">
      <c r="A27" s="1563"/>
      <c r="B27" s="208" t="s">
        <v>94</v>
      </c>
      <c r="C27" s="78"/>
      <c r="D27" s="78"/>
      <c r="E27" s="83"/>
      <c r="F27" s="81"/>
    </row>
    <row r="28" spans="1:6" ht="13.5" thickBot="1" x14ac:dyDescent="0.25">
      <c r="A28" s="1563"/>
      <c r="B28" s="213" t="s">
        <v>103</v>
      </c>
      <c r="C28" s="210"/>
      <c r="D28" s="210"/>
      <c r="E28" s="211"/>
      <c r="F28" s="212"/>
    </row>
    <row r="29" spans="1:6" ht="13.5" thickBot="1" x14ac:dyDescent="0.25">
      <c r="A29" s="1563"/>
      <c r="B29" s="214" t="s">
        <v>14</v>
      </c>
      <c r="C29" s="223">
        <f>SUM(C19:C28)</f>
        <v>11927411</v>
      </c>
      <c r="D29" s="223">
        <f>SUM(D19:D28)</f>
        <v>12510215</v>
      </c>
      <c r="E29" s="223">
        <f>SUM(E19:E28)</f>
        <v>9412205</v>
      </c>
      <c r="F29" s="215">
        <f t="shared" si="0"/>
        <v>75.236157012489386</v>
      </c>
    </row>
    <row r="30" spans="1:6" x14ac:dyDescent="0.2">
      <c r="A30" s="1562" t="s">
        <v>84</v>
      </c>
      <c r="B30" s="206" t="s">
        <v>88</v>
      </c>
      <c r="C30" s="221"/>
      <c r="D30" s="221"/>
      <c r="E30" s="221"/>
      <c r="F30" s="207"/>
    </row>
    <row r="31" spans="1:6" ht="25.5" x14ac:dyDescent="0.2">
      <c r="A31" s="1563"/>
      <c r="B31" s="208" t="s">
        <v>101</v>
      </c>
      <c r="C31" s="222"/>
      <c r="D31" s="222"/>
      <c r="E31" s="222"/>
      <c r="F31" s="81"/>
    </row>
    <row r="32" spans="1:6" x14ac:dyDescent="0.2">
      <c r="A32" s="1563"/>
      <c r="B32" s="208" t="s">
        <v>90</v>
      </c>
      <c r="C32" s="222">
        <v>326000</v>
      </c>
      <c r="D32" s="222">
        <v>326000</v>
      </c>
      <c r="E32" s="222">
        <v>158247</v>
      </c>
      <c r="F32" s="1168">
        <f>E32/D32*100</f>
        <v>48.542024539877296</v>
      </c>
    </row>
    <row r="33" spans="1:6" x14ac:dyDescent="0.2">
      <c r="A33" s="1563"/>
      <c r="B33" s="208" t="s">
        <v>102</v>
      </c>
      <c r="C33" s="222"/>
      <c r="D33" s="222"/>
      <c r="E33" s="222"/>
      <c r="F33" s="1168"/>
    </row>
    <row r="34" spans="1:6" ht="25.5" x14ac:dyDescent="0.2">
      <c r="A34" s="1563"/>
      <c r="B34" s="208" t="s">
        <v>97</v>
      </c>
      <c r="C34" s="222">
        <v>156539</v>
      </c>
      <c r="D34" s="222">
        <v>156539</v>
      </c>
      <c r="E34" s="222">
        <v>179440</v>
      </c>
      <c r="F34" s="1168">
        <f t="shared" ref="F34" si="1">E34/D34*100</f>
        <v>114.62958112674796</v>
      </c>
    </row>
    <row r="35" spans="1:6" x14ac:dyDescent="0.2">
      <c r="A35" s="1563"/>
      <c r="B35" s="208" t="s">
        <v>627</v>
      </c>
      <c r="C35" s="222"/>
      <c r="D35" s="222"/>
      <c r="E35" s="222"/>
      <c r="F35" s="81"/>
    </row>
    <row r="36" spans="1:6" x14ac:dyDescent="0.2">
      <c r="A36" s="1563"/>
      <c r="B36" s="208" t="s">
        <v>92</v>
      </c>
      <c r="C36" s="222"/>
      <c r="D36" s="222"/>
      <c r="E36" s="222"/>
      <c r="F36" s="81"/>
    </row>
    <row r="37" spans="1:6" x14ac:dyDescent="0.2">
      <c r="A37" s="1563"/>
      <c r="B37" s="208" t="s">
        <v>93</v>
      </c>
      <c r="C37" s="78"/>
      <c r="D37" s="78"/>
      <c r="E37" s="83"/>
      <c r="F37" s="81"/>
    </row>
    <row r="38" spans="1:6" x14ac:dyDescent="0.2">
      <c r="A38" s="1563"/>
      <c r="B38" s="208" t="s">
        <v>94</v>
      </c>
      <c r="C38" s="78"/>
      <c r="D38" s="78"/>
      <c r="E38" s="83"/>
      <c r="F38" s="81"/>
    </row>
    <row r="39" spans="1:6" ht="13.5" thickBot="1" x14ac:dyDescent="0.25">
      <c r="A39" s="1563"/>
      <c r="B39" s="213" t="s">
        <v>103</v>
      </c>
      <c r="C39" s="210"/>
      <c r="D39" s="210"/>
      <c r="E39" s="211"/>
      <c r="F39" s="212"/>
    </row>
    <row r="40" spans="1:6" ht="13.5" thickBot="1" x14ac:dyDescent="0.25">
      <c r="A40" s="1563"/>
      <c r="B40" s="214" t="s">
        <v>14</v>
      </c>
      <c r="C40" s="223">
        <f>SUM(C30:C39)</f>
        <v>482539</v>
      </c>
      <c r="D40" s="223">
        <f>SUM(D30:D39)</f>
        <v>482539</v>
      </c>
      <c r="E40" s="223">
        <f>SUM(E30:E39)</f>
        <v>337687</v>
      </c>
      <c r="F40" s="215">
        <f>E40/D40*100</f>
        <v>69.98128648668812</v>
      </c>
    </row>
    <row r="41" spans="1:6" x14ac:dyDescent="0.2">
      <c r="A41" s="1562" t="s">
        <v>85</v>
      </c>
      <c r="B41" s="206" t="s">
        <v>88</v>
      </c>
      <c r="C41" s="221">
        <v>565840</v>
      </c>
      <c r="D41" s="221">
        <v>565840</v>
      </c>
      <c r="E41" s="221">
        <v>507494</v>
      </c>
      <c r="F41" s="1167">
        <f>E41/D41*100</f>
        <v>89.688604552523671</v>
      </c>
    </row>
    <row r="42" spans="1:6" ht="25.5" x14ac:dyDescent="0.2">
      <c r="A42" s="1563"/>
      <c r="B42" s="208" t="s">
        <v>101</v>
      </c>
      <c r="C42" s="222">
        <v>99500</v>
      </c>
      <c r="D42" s="222">
        <v>99500</v>
      </c>
      <c r="E42" s="222">
        <v>77553</v>
      </c>
      <c r="F42" s="1168">
        <f>E42/D42*100</f>
        <v>77.942713567839192</v>
      </c>
    </row>
    <row r="43" spans="1:6" x14ac:dyDescent="0.2">
      <c r="A43" s="1563"/>
      <c r="B43" s="208" t="s">
        <v>90</v>
      </c>
      <c r="C43" s="222">
        <v>200200</v>
      </c>
      <c r="D43" s="222">
        <v>200200</v>
      </c>
      <c r="E43" s="222">
        <v>74064</v>
      </c>
      <c r="F43" s="1168">
        <f>E43/D43*100</f>
        <v>36.99500499500499</v>
      </c>
    </row>
    <row r="44" spans="1:6" x14ac:dyDescent="0.2">
      <c r="A44" s="1563"/>
      <c r="B44" s="208" t="s">
        <v>102</v>
      </c>
      <c r="C44" s="222"/>
      <c r="D44" s="222"/>
      <c r="E44" s="222"/>
      <c r="F44" s="1168"/>
    </row>
    <row r="45" spans="1:6" ht="25.5" x14ac:dyDescent="0.2">
      <c r="A45" s="1563"/>
      <c r="B45" s="208" t="s">
        <v>97</v>
      </c>
      <c r="C45" s="222"/>
      <c r="D45" s="222"/>
      <c r="E45" s="222"/>
      <c r="F45" s="1168"/>
    </row>
    <row r="46" spans="1:6" x14ac:dyDescent="0.2">
      <c r="A46" s="1563"/>
      <c r="B46" s="208" t="s">
        <v>627</v>
      </c>
      <c r="C46" s="222"/>
      <c r="D46" s="222"/>
      <c r="E46" s="222"/>
      <c r="F46" s="1168"/>
    </row>
    <row r="47" spans="1:6" x14ac:dyDescent="0.2">
      <c r="A47" s="1563"/>
      <c r="B47" s="208" t="s">
        <v>92</v>
      </c>
      <c r="C47" s="222"/>
      <c r="D47" s="222"/>
      <c r="E47" s="222"/>
      <c r="F47" s="1168"/>
    </row>
    <row r="48" spans="1:6" x14ac:dyDescent="0.2">
      <c r="A48" s="1563"/>
      <c r="B48" s="208" t="s">
        <v>93</v>
      </c>
      <c r="C48" s="78"/>
      <c r="D48" s="78"/>
      <c r="E48" s="83"/>
      <c r="F48" s="1168"/>
    </row>
    <row r="49" spans="1:6" x14ac:dyDescent="0.2">
      <c r="A49" s="1563"/>
      <c r="B49" s="208" t="s">
        <v>94</v>
      </c>
      <c r="C49" s="78"/>
      <c r="D49" s="78"/>
      <c r="E49" s="83"/>
      <c r="F49" s="81"/>
    </row>
    <row r="50" spans="1:6" ht="13.5" thickBot="1" x14ac:dyDescent="0.25">
      <c r="A50" s="1563"/>
      <c r="B50" s="213" t="s">
        <v>103</v>
      </c>
      <c r="C50" s="210"/>
      <c r="D50" s="210"/>
      <c r="E50" s="211"/>
      <c r="F50" s="212"/>
    </row>
    <row r="51" spans="1:6" ht="13.5" thickBot="1" x14ac:dyDescent="0.25">
      <c r="A51" s="1563"/>
      <c r="B51" s="214" t="s">
        <v>14</v>
      </c>
      <c r="C51" s="223">
        <f>SUM(C41:C50)</f>
        <v>865540</v>
      </c>
      <c r="D51" s="223">
        <f>SUM(D41:D50)</f>
        <v>865540</v>
      </c>
      <c r="E51" s="223">
        <f>SUM(E41:E50)</f>
        <v>659111</v>
      </c>
      <c r="F51" s="215">
        <f>E51/D51*100</f>
        <v>76.15026457471636</v>
      </c>
    </row>
    <row r="52" spans="1:6" ht="13.5" thickBot="1" x14ac:dyDescent="0.25">
      <c r="A52" s="1564" t="s">
        <v>11</v>
      </c>
      <c r="B52" s="295" t="s">
        <v>88</v>
      </c>
      <c r="C52" s="309">
        <f t="shared" ref="C52:E62" si="2">C41+C30+C19+C8</f>
        <v>6730135</v>
      </c>
      <c r="D52" s="301">
        <f t="shared" si="2"/>
        <v>7179483</v>
      </c>
      <c r="E52" s="810">
        <f t="shared" si="2"/>
        <v>5444385</v>
      </c>
      <c r="F52" s="307">
        <f>E52/D52*100</f>
        <v>75.832549502519882</v>
      </c>
    </row>
    <row r="53" spans="1:6" ht="26.25" thickBot="1" x14ac:dyDescent="0.25">
      <c r="A53" s="1565"/>
      <c r="B53" s="295" t="s">
        <v>101</v>
      </c>
      <c r="C53" s="309">
        <f t="shared" si="2"/>
        <v>1301500</v>
      </c>
      <c r="D53" s="301">
        <f t="shared" si="2"/>
        <v>1386156</v>
      </c>
      <c r="E53" s="810">
        <f t="shared" si="2"/>
        <v>1007962</v>
      </c>
      <c r="F53" s="307">
        <f t="shared" ref="F53:F62" si="3">E53/D53*100</f>
        <v>72.716346500682462</v>
      </c>
    </row>
    <row r="54" spans="1:6" ht="13.5" thickBot="1" x14ac:dyDescent="0.25">
      <c r="A54" s="1565"/>
      <c r="B54" s="296" t="s">
        <v>90</v>
      </c>
      <c r="C54" s="299">
        <f t="shared" si="2"/>
        <v>5424200</v>
      </c>
      <c r="D54" s="300">
        <f t="shared" si="2"/>
        <v>5473000</v>
      </c>
      <c r="E54" s="811">
        <f t="shared" si="2"/>
        <v>4136621</v>
      </c>
      <c r="F54" s="307">
        <f t="shared" si="3"/>
        <v>75.582331445276822</v>
      </c>
    </row>
    <row r="55" spans="1:6" ht="13.5" thickBot="1" x14ac:dyDescent="0.25">
      <c r="A55" s="1565"/>
      <c r="B55" s="297" t="s">
        <v>102</v>
      </c>
      <c r="C55" s="309">
        <f t="shared" si="2"/>
        <v>0</v>
      </c>
      <c r="D55" s="301">
        <f t="shared" si="2"/>
        <v>0</v>
      </c>
      <c r="E55" s="810">
        <f t="shared" si="2"/>
        <v>0</v>
      </c>
      <c r="F55" s="308"/>
    </row>
    <row r="56" spans="1:6" ht="26.25" thickBot="1" x14ac:dyDescent="0.25">
      <c r="A56" s="1565"/>
      <c r="B56" s="295" t="s">
        <v>97</v>
      </c>
      <c r="C56" s="309">
        <f t="shared" si="2"/>
        <v>447255</v>
      </c>
      <c r="D56" s="301">
        <f t="shared" si="2"/>
        <v>447255</v>
      </c>
      <c r="E56" s="810">
        <f t="shared" si="2"/>
        <v>447255</v>
      </c>
      <c r="F56" s="307">
        <f t="shared" si="3"/>
        <v>100</v>
      </c>
    </row>
    <row r="57" spans="1:6" ht="13.5" thickBot="1" x14ac:dyDescent="0.25">
      <c r="A57" s="1565"/>
      <c r="B57" s="298" t="s">
        <v>627</v>
      </c>
      <c r="C57" s="311">
        <f t="shared" si="2"/>
        <v>0</v>
      </c>
      <c r="D57" s="312">
        <f t="shared" si="2"/>
        <v>0</v>
      </c>
      <c r="E57" s="812">
        <f t="shared" si="2"/>
        <v>0</v>
      </c>
      <c r="F57" s="313"/>
    </row>
    <row r="58" spans="1:6" ht="13.5" thickBot="1" x14ac:dyDescent="0.25">
      <c r="A58" s="1565"/>
      <c r="B58" s="295" t="s">
        <v>92</v>
      </c>
      <c r="C58" s="309">
        <f t="shared" si="2"/>
        <v>25400</v>
      </c>
      <c r="D58" s="301">
        <f t="shared" si="2"/>
        <v>25400</v>
      </c>
      <c r="E58" s="810">
        <f t="shared" si="2"/>
        <v>24960</v>
      </c>
      <c r="F58" s="307">
        <f t="shared" si="3"/>
        <v>98.267716535433067</v>
      </c>
    </row>
    <row r="59" spans="1:6" ht="13.5" thickBot="1" x14ac:dyDescent="0.25">
      <c r="A59" s="1565"/>
      <c r="B59" s="295" t="s">
        <v>93</v>
      </c>
      <c r="C59" s="309">
        <f t="shared" si="2"/>
        <v>0</v>
      </c>
      <c r="D59" s="301">
        <f t="shared" si="2"/>
        <v>0</v>
      </c>
      <c r="E59" s="810">
        <f t="shared" si="2"/>
        <v>0</v>
      </c>
      <c r="F59" s="307"/>
    </row>
    <row r="60" spans="1:6" ht="13.5" thickBot="1" x14ac:dyDescent="0.25">
      <c r="A60" s="1565"/>
      <c r="B60" s="298" t="s">
        <v>94</v>
      </c>
      <c r="C60" s="311">
        <f t="shared" si="2"/>
        <v>0</v>
      </c>
      <c r="D60" s="312">
        <f t="shared" si="2"/>
        <v>0</v>
      </c>
      <c r="E60" s="311">
        <f t="shared" si="2"/>
        <v>0</v>
      </c>
      <c r="F60" s="313"/>
    </row>
    <row r="61" spans="1:6" ht="13.5" thickBot="1" x14ac:dyDescent="0.25">
      <c r="A61" s="1565"/>
      <c r="B61" s="295" t="s">
        <v>103</v>
      </c>
      <c r="C61" s="309">
        <f t="shared" si="2"/>
        <v>0</v>
      </c>
      <c r="D61" s="301">
        <f t="shared" si="2"/>
        <v>0</v>
      </c>
      <c r="E61" s="309">
        <f t="shared" si="2"/>
        <v>0</v>
      </c>
      <c r="F61" s="307"/>
    </row>
    <row r="62" spans="1:6" ht="13.5" thickBot="1" x14ac:dyDescent="0.25">
      <c r="A62" s="1566"/>
      <c r="B62" s="310" t="s">
        <v>14</v>
      </c>
      <c r="C62" s="869">
        <f t="shared" si="2"/>
        <v>13928490</v>
      </c>
      <c r="D62" s="301">
        <f t="shared" si="2"/>
        <v>14511294</v>
      </c>
      <c r="E62" s="309">
        <f t="shared" si="2"/>
        <v>11061183</v>
      </c>
      <c r="F62" s="307">
        <f t="shared" si="3"/>
        <v>76.224649572946419</v>
      </c>
    </row>
  </sheetData>
  <mergeCells count="6">
    <mergeCell ref="A1:F2"/>
    <mergeCell ref="A8:A18"/>
    <mergeCell ref="A19:A29"/>
    <mergeCell ref="A52:A62"/>
    <mergeCell ref="A30:A40"/>
    <mergeCell ref="A41:A51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&amp;R2.3. sz. melléklet
...../2020.(VI.25.)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110" zoomScaleNormal="110" workbookViewId="0">
      <selection activeCell="C3" sqref="C3"/>
    </sheetView>
  </sheetViews>
  <sheetFormatPr defaultRowHeight="12.75" x14ac:dyDescent="0.2"/>
  <cols>
    <col min="1" max="1" width="46.42578125" customWidth="1"/>
    <col min="2" max="2" width="37.42578125" customWidth="1"/>
    <col min="3" max="3" width="15.140625" style="224" customWidth="1"/>
    <col min="4" max="4" width="13.7109375" style="224" customWidth="1"/>
    <col min="5" max="5" width="19.7109375" style="224" customWidth="1"/>
    <col min="6" max="6" width="14.42578125" customWidth="1"/>
    <col min="7" max="7" width="14.5703125" customWidth="1"/>
    <col min="12" max="12" width="12" customWidth="1"/>
  </cols>
  <sheetData>
    <row r="1" spans="1:6" ht="15.75" customHeight="1" x14ac:dyDescent="0.2">
      <c r="A1" s="1567" t="s">
        <v>625</v>
      </c>
      <c r="B1" s="1567"/>
      <c r="C1" s="1567"/>
      <c r="D1" s="1567"/>
      <c r="E1" s="1567"/>
      <c r="F1" s="1567"/>
    </row>
    <row r="2" spans="1:6" x14ac:dyDescent="0.2">
      <c r="A2" s="1567"/>
      <c r="B2" s="1567"/>
      <c r="C2" s="1567"/>
      <c r="D2" s="1567"/>
      <c r="E2" s="1567"/>
      <c r="F2" s="1567"/>
    </row>
    <row r="3" spans="1:6" x14ac:dyDescent="0.2">
      <c r="A3" s="3"/>
      <c r="B3" s="3"/>
      <c r="C3" s="227"/>
      <c r="D3" s="227"/>
      <c r="E3" s="227"/>
      <c r="F3" s="3"/>
    </row>
    <row r="4" spans="1:6" x14ac:dyDescent="0.2">
      <c r="A4" s="3"/>
      <c r="B4" s="3"/>
      <c r="C4" s="227"/>
      <c r="D4" s="227"/>
      <c r="E4" s="227"/>
      <c r="F4" s="3"/>
    </row>
    <row r="5" spans="1:6" x14ac:dyDescent="0.2">
      <c r="A5" s="3"/>
      <c r="B5" s="3"/>
      <c r="C5" s="227"/>
      <c r="D5" s="227"/>
      <c r="E5" s="227"/>
      <c r="F5" s="3"/>
    </row>
    <row r="6" spans="1:6" ht="13.5" thickBot="1" x14ac:dyDescent="0.25">
      <c r="F6" t="s">
        <v>184</v>
      </c>
    </row>
    <row r="7" spans="1:6" ht="26.25" thickBot="1" x14ac:dyDescent="0.25">
      <c r="A7" s="164" t="s">
        <v>73</v>
      </c>
      <c r="B7" s="204" t="s">
        <v>24</v>
      </c>
      <c r="C7" s="225" t="s">
        <v>155</v>
      </c>
      <c r="D7" s="225" t="s">
        <v>148</v>
      </c>
      <c r="E7" s="225" t="s">
        <v>149</v>
      </c>
      <c r="F7" s="205" t="s">
        <v>150</v>
      </c>
    </row>
    <row r="8" spans="1:6" x14ac:dyDescent="0.2">
      <c r="A8" s="1548" t="s">
        <v>82</v>
      </c>
      <c r="B8" s="216" t="s">
        <v>88</v>
      </c>
      <c r="C8" s="221"/>
      <c r="D8" s="221"/>
      <c r="E8" s="221"/>
      <c r="F8" s="1167"/>
    </row>
    <row r="9" spans="1:6" ht="25.5" x14ac:dyDescent="0.2">
      <c r="A9" s="1549"/>
      <c r="B9" s="217" t="s">
        <v>101</v>
      </c>
      <c r="C9" s="222"/>
      <c r="D9" s="222"/>
      <c r="E9" s="222"/>
      <c r="F9" s="1168"/>
    </row>
    <row r="10" spans="1:6" x14ac:dyDescent="0.2">
      <c r="A10" s="1549"/>
      <c r="B10" s="217" t="s">
        <v>90</v>
      </c>
      <c r="C10" s="222">
        <v>653000</v>
      </c>
      <c r="D10" s="222">
        <v>653000</v>
      </c>
      <c r="E10" s="222">
        <v>652180</v>
      </c>
      <c r="F10" s="1168">
        <f>E10/D10*100</f>
        <v>99.874425727411946</v>
      </c>
    </row>
    <row r="11" spans="1:6" x14ac:dyDescent="0.2">
      <c r="A11" s="1549"/>
      <c r="B11" s="217" t="s">
        <v>102</v>
      </c>
      <c r="C11" s="222"/>
      <c r="D11" s="222"/>
      <c r="E11" s="222"/>
      <c r="F11" s="1168"/>
    </row>
    <row r="12" spans="1:6" ht="25.5" x14ac:dyDescent="0.2">
      <c r="A12" s="1549"/>
      <c r="B12" s="217" t="s">
        <v>97</v>
      </c>
      <c r="C12" s="222"/>
      <c r="D12" s="222"/>
      <c r="E12" s="222"/>
      <c r="F12" s="1168"/>
    </row>
    <row r="13" spans="1:6" x14ac:dyDescent="0.2">
      <c r="A13" s="1549"/>
      <c r="B13" s="217" t="s">
        <v>627</v>
      </c>
      <c r="C13" s="222"/>
      <c r="D13" s="222"/>
      <c r="E13" s="222"/>
      <c r="F13" s="1168"/>
    </row>
    <row r="14" spans="1:6" x14ac:dyDescent="0.2">
      <c r="A14" s="1549"/>
      <c r="B14" s="217" t="s">
        <v>92</v>
      </c>
      <c r="C14" s="222"/>
      <c r="D14" s="222"/>
      <c r="E14" s="222"/>
      <c r="F14" s="1168"/>
    </row>
    <row r="15" spans="1:6" x14ac:dyDescent="0.2">
      <c r="A15" s="1549"/>
      <c r="B15" s="217" t="s">
        <v>93</v>
      </c>
      <c r="C15" s="78"/>
      <c r="D15" s="78"/>
      <c r="E15" s="83"/>
      <c r="F15" s="1168"/>
    </row>
    <row r="16" spans="1:6" x14ac:dyDescent="0.2">
      <c r="A16" s="1549"/>
      <c r="B16" s="217" t="s">
        <v>94</v>
      </c>
      <c r="C16" s="78"/>
      <c r="D16" s="78"/>
      <c r="E16" s="83"/>
      <c r="F16" s="1168"/>
    </row>
    <row r="17" spans="1:6" ht="13.5" thickBot="1" x14ac:dyDescent="0.25">
      <c r="A17" s="1549"/>
      <c r="B17" s="209" t="s">
        <v>103</v>
      </c>
      <c r="C17" s="210"/>
      <c r="D17" s="210"/>
      <c r="E17" s="211"/>
      <c r="F17" s="212"/>
    </row>
    <row r="18" spans="1:6" ht="13.5" thickBot="1" x14ac:dyDescent="0.25">
      <c r="A18" s="1549"/>
      <c r="B18" s="214" t="s">
        <v>14</v>
      </c>
      <c r="C18" s="223">
        <f>SUM(C8:C17)</f>
        <v>653000</v>
      </c>
      <c r="D18" s="223">
        <f>SUM(D8:D17)</f>
        <v>653000</v>
      </c>
      <c r="E18" s="223">
        <f>SUM(E8:E17)</f>
        <v>652180</v>
      </c>
      <c r="F18" s="215">
        <f>E18/D18*100</f>
        <v>99.874425727411946</v>
      </c>
    </row>
    <row r="19" spans="1:6" x14ac:dyDescent="0.2">
      <c r="A19" s="1562" t="s">
        <v>83</v>
      </c>
      <c r="B19" s="206" t="s">
        <v>88</v>
      </c>
      <c r="C19" s="221">
        <v>6164295</v>
      </c>
      <c r="D19" s="221">
        <v>6613643</v>
      </c>
      <c r="E19" s="221">
        <v>4936891</v>
      </c>
      <c r="F19" s="1167">
        <f>E19/D19*100</f>
        <v>74.647074237300075</v>
      </c>
    </row>
    <row r="20" spans="1:6" ht="25.5" x14ac:dyDescent="0.2">
      <c r="A20" s="1563"/>
      <c r="B20" s="208" t="s">
        <v>101</v>
      </c>
      <c r="C20" s="222">
        <v>1202000</v>
      </c>
      <c r="D20" s="222">
        <v>1286656</v>
      </c>
      <c r="E20" s="222">
        <v>930409</v>
      </c>
      <c r="F20" s="1168">
        <f t="shared" ref="F20:F29" si="0">E20/D20*100</f>
        <v>72.31217979009152</v>
      </c>
    </row>
    <row r="21" spans="1:6" x14ac:dyDescent="0.2">
      <c r="A21" s="1563"/>
      <c r="B21" s="208" t="s">
        <v>90</v>
      </c>
      <c r="C21" s="222">
        <v>4245000</v>
      </c>
      <c r="D21" s="222">
        <v>4293800</v>
      </c>
      <c r="E21" s="222">
        <v>3252130</v>
      </c>
      <c r="F21" s="1168">
        <f t="shared" si="0"/>
        <v>75.740136941636777</v>
      </c>
    </row>
    <row r="22" spans="1:6" x14ac:dyDescent="0.2">
      <c r="A22" s="1563"/>
      <c r="B22" s="208" t="s">
        <v>102</v>
      </c>
      <c r="C22" s="222"/>
      <c r="D22" s="222"/>
      <c r="E22" s="222"/>
      <c r="F22" s="1168"/>
    </row>
    <row r="23" spans="1:6" ht="25.5" x14ac:dyDescent="0.2">
      <c r="A23" s="1563"/>
      <c r="B23" s="208" t="s">
        <v>97</v>
      </c>
      <c r="C23" s="222">
        <v>290716</v>
      </c>
      <c r="D23" s="222">
        <v>290716</v>
      </c>
      <c r="E23" s="222">
        <v>267815</v>
      </c>
      <c r="F23" s="1168">
        <f t="shared" si="0"/>
        <v>92.122552594284457</v>
      </c>
    </row>
    <row r="24" spans="1:6" x14ac:dyDescent="0.2">
      <c r="A24" s="1563"/>
      <c r="B24" s="208" t="s">
        <v>627</v>
      </c>
      <c r="C24" s="222"/>
      <c r="D24" s="222"/>
      <c r="E24" s="222"/>
      <c r="F24" s="1168"/>
    </row>
    <row r="25" spans="1:6" x14ac:dyDescent="0.2">
      <c r="A25" s="1563"/>
      <c r="B25" s="208" t="s">
        <v>92</v>
      </c>
      <c r="C25" s="222">
        <v>25400</v>
      </c>
      <c r="D25" s="222">
        <v>25400</v>
      </c>
      <c r="E25" s="222">
        <v>24960</v>
      </c>
      <c r="F25" s="1168">
        <f t="shared" si="0"/>
        <v>98.267716535433067</v>
      </c>
    </row>
    <row r="26" spans="1:6" x14ac:dyDescent="0.2">
      <c r="A26" s="1563"/>
      <c r="B26" s="208" t="s">
        <v>93</v>
      </c>
      <c r="C26" s="78"/>
      <c r="D26" s="78"/>
      <c r="E26" s="83"/>
      <c r="F26" s="81"/>
    </row>
    <row r="27" spans="1:6" x14ac:dyDescent="0.2">
      <c r="A27" s="1563"/>
      <c r="B27" s="208" t="s">
        <v>94</v>
      </c>
      <c r="C27" s="78"/>
      <c r="D27" s="78"/>
      <c r="E27" s="83"/>
      <c r="F27" s="81"/>
    </row>
    <row r="28" spans="1:6" ht="13.5" thickBot="1" x14ac:dyDescent="0.25">
      <c r="A28" s="1563"/>
      <c r="B28" s="213" t="s">
        <v>103</v>
      </c>
      <c r="C28" s="210"/>
      <c r="D28" s="210"/>
      <c r="E28" s="211"/>
      <c r="F28" s="212"/>
    </row>
    <row r="29" spans="1:6" ht="13.5" thickBot="1" x14ac:dyDescent="0.25">
      <c r="A29" s="1563"/>
      <c r="B29" s="214" t="s">
        <v>14</v>
      </c>
      <c r="C29" s="223">
        <f>SUM(C19:C28)</f>
        <v>11927411</v>
      </c>
      <c r="D29" s="223">
        <f>SUM(D19:D28)</f>
        <v>12510215</v>
      </c>
      <c r="E29" s="223">
        <f>SUM(E19:E28)</f>
        <v>9412205</v>
      </c>
      <c r="F29" s="215">
        <f t="shared" si="0"/>
        <v>75.236157012489386</v>
      </c>
    </row>
    <row r="30" spans="1:6" x14ac:dyDescent="0.2">
      <c r="A30" s="1562" t="s">
        <v>84</v>
      </c>
      <c r="B30" s="206" t="s">
        <v>88</v>
      </c>
      <c r="C30" s="221"/>
      <c r="D30" s="221"/>
      <c r="E30" s="221"/>
      <c r="F30" s="207"/>
    </row>
    <row r="31" spans="1:6" ht="25.5" x14ac:dyDescent="0.2">
      <c r="A31" s="1563"/>
      <c r="B31" s="208" t="s">
        <v>101</v>
      </c>
      <c r="C31" s="222"/>
      <c r="D31" s="222"/>
      <c r="E31" s="222"/>
      <c r="F31" s="81"/>
    </row>
    <row r="32" spans="1:6" x14ac:dyDescent="0.2">
      <c r="A32" s="1563"/>
      <c r="B32" s="208" t="s">
        <v>90</v>
      </c>
      <c r="C32" s="222">
        <v>326000</v>
      </c>
      <c r="D32" s="222">
        <v>326000</v>
      </c>
      <c r="E32" s="222">
        <v>158247</v>
      </c>
      <c r="F32" s="1168">
        <f>E32/D32*100</f>
        <v>48.542024539877296</v>
      </c>
    </row>
    <row r="33" spans="1:6" x14ac:dyDescent="0.2">
      <c r="A33" s="1563"/>
      <c r="B33" s="208" t="s">
        <v>102</v>
      </c>
      <c r="C33" s="222"/>
      <c r="D33" s="222"/>
      <c r="E33" s="222"/>
      <c r="F33" s="1168"/>
    </row>
    <row r="34" spans="1:6" ht="25.5" x14ac:dyDescent="0.2">
      <c r="A34" s="1563"/>
      <c r="B34" s="208" t="s">
        <v>97</v>
      </c>
      <c r="C34" s="222">
        <v>156539</v>
      </c>
      <c r="D34" s="222">
        <v>156539</v>
      </c>
      <c r="E34" s="222">
        <v>179440</v>
      </c>
      <c r="F34" s="1168">
        <f t="shared" ref="F34" si="1">E34/D34*100</f>
        <v>114.62958112674796</v>
      </c>
    </row>
    <row r="35" spans="1:6" x14ac:dyDescent="0.2">
      <c r="A35" s="1563"/>
      <c r="B35" s="208" t="s">
        <v>627</v>
      </c>
      <c r="C35" s="222"/>
      <c r="D35" s="222"/>
      <c r="E35" s="222"/>
      <c r="F35" s="81"/>
    </row>
    <row r="36" spans="1:6" x14ac:dyDescent="0.2">
      <c r="A36" s="1563"/>
      <c r="B36" s="208" t="s">
        <v>92</v>
      </c>
      <c r="C36" s="222"/>
      <c r="D36" s="222"/>
      <c r="E36" s="222"/>
      <c r="F36" s="81"/>
    </row>
    <row r="37" spans="1:6" x14ac:dyDescent="0.2">
      <c r="A37" s="1563"/>
      <c r="B37" s="208" t="s">
        <v>93</v>
      </c>
      <c r="C37" s="78"/>
      <c r="D37" s="78"/>
      <c r="E37" s="83"/>
      <c r="F37" s="81"/>
    </row>
    <row r="38" spans="1:6" x14ac:dyDescent="0.2">
      <c r="A38" s="1563"/>
      <c r="B38" s="208" t="s">
        <v>94</v>
      </c>
      <c r="C38" s="78"/>
      <c r="D38" s="78"/>
      <c r="E38" s="83"/>
      <c r="F38" s="81"/>
    </row>
    <row r="39" spans="1:6" ht="13.5" thickBot="1" x14ac:dyDescent="0.25">
      <c r="A39" s="1563"/>
      <c r="B39" s="213" t="s">
        <v>103</v>
      </c>
      <c r="C39" s="210"/>
      <c r="D39" s="210"/>
      <c r="E39" s="211"/>
      <c r="F39" s="212"/>
    </row>
    <row r="40" spans="1:6" ht="13.5" thickBot="1" x14ac:dyDescent="0.25">
      <c r="A40" s="1563"/>
      <c r="B40" s="214" t="s">
        <v>14</v>
      </c>
      <c r="C40" s="223">
        <f>SUM(C30:C39)</f>
        <v>482539</v>
      </c>
      <c r="D40" s="223">
        <f>SUM(D30:D39)</f>
        <v>482539</v>
      </c>
      <c r="E40" s="223">
        <f>SUM(E30:E39)</f>
        <v>337687</v>
      </c>
      <c r="F40" s="215">
        <f>E40/D40*100</f>
        <v>69.98128648668812</v>
      </c>
    </row>
    <row r="41" spans="1:6" x14ac:dyDescent="0.2">
      <c r="A41" s="1562" t="s">
        <v>85</v>
      </c>
      <c r="B41" s="206" t="s">
        <v>88</v>
      </c>
      <c r="C41" s="221">
        <v>565840</v>
      </c>
      <c r="D41" s="221">
        <v>565840</v>
      </c>
      <c r="E41" s="221">
        <v>507494</v>
      </c>
      <c r="F41" s="1167">
        <f>E41/D41*100</f>
        <v>89.688604552523671</v>
      </c>
    </row>
    <row r="42" spans="1:6" ht="25.5" x14ac:dyDescent="0.2">
      <c r="A42" s="1563"/>
      <c r="B42" s="208" t="s">
        <v>101</v>
      </c>
      <c r="C42" s="222">
        <v>99500</v>
      </c>
      <c r="D42" s="222">
        <v>99500</v>
      </c>
      <c r="E42" s="222">
        <v>77553</v>
      </c>
      <c r="F42" s="1168">
        <f>E42/D42*100</f>
        <v>77.942713567839192</v>
      </c>
    </row>
    <row r="43" spans="1:6" x14ac:dyDescent="0.2">
      <c r="A43" s="1563"/>
      <c r="B43" s="208" t="s">
        <v>90</v>
      </c>
      <c r="C43" s="222">
        <v>200200</v>
      </c>
      <c r="D43" s="222">
        <v>200200</v>
      </c>
      <c r="E43" s="222">
        <v>74064</v>
      </c>
      <c r="F43" s="1168">
        <f>E43/D43*100</f>
        <v>36.99500499500499</v>
      </c>
    </row>
    <row r="44" spans="1:6" x14ac:dyDescent="0.2">
      <c r="A44" s="1563"/>
      <c r="B44" s="208" t="s">
        <v>102</v>
      </c>
      <c r="C44" s="222"/>
      <c r="D44" s="222"/>
      <c r="E44" s="222"/>
      <c r="F44" s="1168"/>
    </row>
    <row r="45" spans="1:6" ht="25.5" x14ac:dyDescent="0.2">
      <c r="A45" s="1563"/>
      <c r="B45" s="208" t="s">
        <v>97</v>
      </c>
      <c r="C45" s="222"/>
      <c r="D45" s="222"/>
      <c r="E45" s="222"/>
      <c r="F45" s="1168"/>
    </row>
    <row r="46" spans="1:6" x14ac:dyDescent="0.2">
      <c r="A46" s="1563"/>
      <c r="B46" s="208" t="s">
        <v>627</v>
      </c>
      <c r="C46" s="222"/>
      <c r="D46" s="222"/>
      <c r="E46" s="222"/>
      <c r="F46" s="1168"/>
    </row>
    <row r="47" spans="1:6" x14ac:dyDescent="0.2">
      <c r="A47" s="1563"/>
      <c r="B47" s="208" t="s">
        <v>92</v>
      </c>
      <c r="C47" s="222"/>
      <c r="D47" s="222"/>
      <c r="E47" s="222"/>
      <c r="F47" s="1168"/>
    </row>
    <row r="48" spans="1:6" x14ac:dyDescent="0.2">
      <c r="A48" s="1563"/>
      <c r="B48" s="208" t="s">
        <v>93</v>
      </c>
      <c r="C48" s="78"/>
      <c r="D48" s="78"/>
      <c r="E48" s="83"/>
      <c r="F48" s="1168"/>
    </row>
    <row r="49" spans="1:6" x14ac:dyDescent="0.2">
      <c r="A49" s="1563"/>
      <c r="B49" s="208" t="s">
        <v>94</v>
      </c>
      <c r="C49" s="78"/>
      <c r="D49" s="78"/>
      <c r="E49" s="83"/>
      <c r="F49" s="81"/>
    </row>
    <row r="50" spans="1:6" ht="13.5" thickBot="1" x14ac:dyDescent="0.25">
      <c r="A50" s="1563"/>
      <c r="B50" s="213" t="s">
        <v>103</v>
      </c>
      <c r="C50" s="210"/>
      <c r="D50" s="210"/>
      <c r="E50" s="211"/>
      <c r="F50" s="212"/>
    </row>
    <row r="51" spans="1:6" ht="13.5" thickBot="1" x14ac:dyDescent="0.25">
      <c r="A51" s="1563"/>
      <c r="B51" s="214" t="s">
        <v>14</v>
      </c>
      <c r="C51" s="223">
        <f>SUM(C41:C50)</f>
        <v>865540</v>
      </c>
      <c r="D51" s="223">
        <f>SUM(D41:D50)</f>
        <v>865540</v>
      </c>
      <c r="E51" s="223">
        <f>SUM(E41:E50)</f>
        <v>659111</v>
      </c>
      <c r="F51" s="215">
        <f>E51/D51*100</f>
        <v>76.15026457471636</v>
      </c>
    </row>
    <row r="52" spans="1:6" ht="13.5" thickBot="1" x14ac:dyDescent="0.25">
      <c r="A52" s="1564" t="s">
        <v>11</v>
      </c>
      <c r="B52" s="295" t="s">
        <v>88</v>
      </c>
      <c r="C52" s="309">
        <f t="shared" ref="C52:E62" si="2">C41+C30+C19+C8</f>
        <v>6730135</v>
      </c>
      <c r="D52" s="301">
        <f t="shared" si="2"/>
        <v>7179483</v>
      </c>
      <c r="E52" s="1224">
        <f t="shared" si="2"/>
        <v>5444385</v>
      </c>
      <c r="F52" s="307">
        <f>E52/D52*100</f>
        <v>75.832549502519882</v>
      </c>
    </row>
    <row r="53" spans="1:6" ht="26.25" thickBot="1" x14ac:dyDescent="0.25">
      <c r="A53" s="1565"/>
      <c r="B53" s="295" t="s">
        <v>101</v>
      </c>
      <c r="C53" s="309">
        <f t="shared" si="2"/>
        <v>1301500</v>
      </c>
      <c r="D53" s="301">
        <f t="shared" si="2"/>
        <v>1386156</v>
      </c>
      <c r="E53" s="1224">
        <f t="shared" si="2"/>
        <v>1007962</v>
      </c>
      <c r="F53" s="307">
        <f t="shared" ref="F53:F62" si="3">E53/D53*100</f>
        <v>72.716346500682462</v>
      </c>
    </row>
    <row r="54" spans="1:6" ht="13.5" thickBot="1" x14ac:dyDescent="0.25">
      <c r="A54" s="1565"/>
      <c r="B54" s="296" t="s">
        <v>90</v>
      </c>
      <c r="C54" s="299">
        <f t="shared" si="2"/>
        <v>5424200</v>
      </c>
      <c r="D54" s="300">
        <f t="shared" si="2"/>
        <v>5473000</v>
      </c>
      <c r="E54" s="811">
        <f t="shared" si="2"/>
        <v>4136621</v>
      </c>
      <c r="F54" s="307">
        <f t="shared" si="3"/>
        <v>75.582331445276822</v>
      </c>
    </row>
    <row r="55" spans="1:6" ht="13.5" thickBot="1" x14ac:dyDescent="0.25">
      <c r="A55" s="1565"/>
      <c r="B55" s="297" t="s">
        <v>102</v>
      </c>
      <c r="C55" s="309">
        <f t="shared" si="2"/>
        <v>0</v>
      </c>
      <c r="D55" s="301">
        <f t="shared" si="2"/>
        <v>0</v>
      </c>
      <c r="E55" s="1224">
        <f t="shared" si="2"/>
        <v>0</v>
      </c>
      <c r="F55" s="308"/>
    </row>
    <row r="56" spans="1:6" ht="26.25" thickBot="1" x14ac:dyDescent="0.25">
      <c r="A56" s="1565"/>
      <c r="B56" s="295" t="s">
        <v>97</v>
      </c>
      <c r="C56" s="309">
        <f t="shared" si="2"/>
        <v>447255</v>
      </c>
      <c r="D56" s="301">
        <f t="shared" si="2"/>
        <v>447255</v>
      </c>
      <c r="E56" s="1224">
        <f t="shared" si="2"/>
        <v>447255</v>
      </c>
      <c r="F56" s="307">
        <f t="shared" si="3"/>
        <v>100</v>
      </c>
    </row>
    <row r="57" spans="1:6" ht="13.5" thickBot="1" x14ac:dyDescent="0.25">
      <c r="A57" s="1565"/>
      <c r="B57" s="298" t="s">
        <v>627</v>
      </c>
      <c r="C57" s="311">
        <f t="shared" si="2"/>
        <v>0</v>
      </c>
      <c r="D57" s="312">
        <f t="shared" si="2"/>
        <v>0</v>
      </c>
      <c r="E57" s="812">
        <f t="shared" si="2"/>
        <v>0</v>
      </c>
      <c r="F57" s="313"/>
    </row>
    <row r="58" spans="1:6" ht="13.5" thickBot="1" x14ac:dyDescent="0.25">
      <c r="A58" s="1565"/>
      <c r="B58" s="295" t="s">
        <v>92</v>
      </c>
      <c r="C58" s="309">
        <f t="shared" si="2"/>
        <v>25400</v>
      </c>
      <c r="D58" s="301">
        <f t="shared" si="2"/>
        <v>25400</v>
      </c>
      <c r="E58" s="1224">
        <f t="shared" si="2"/>
        <v>24960</v>
      </c>
      <c r="F58" s="307">
        <f t="shared" si="3"/>
        <v>98.267716535433067</v>
      </c>
    </row>
    <row r="59" spans="1:6" ht="13.5" thickBot="1" x14ac:dyDescent="0.25">
      <c r="A59" s="1565"/>
      <c r="B59" s="295" t="s">
        <v>93</v>
      </c>
      <c r="C59" s="309">
        <f t="shared" si="2"/>
        <v>0</v>
      </c>
      <c r="D59" s="301">
        <f t="shared" si="2"/>
        <v>0</v>
      </c>
      <c r="E59" s="1224">
        <f t="shared" si="2"/>
        <v>0</v>
      </c>
      <c r="F59" s="307"/>
    </row>
    <row r="60" spans="1:6" ht="13.5" thickBot="1" x14ac:dyDescent="0.25">
      <c r="A60" s="1565"/>
      <c r="B60" s="298" t="s">
        <v>94</v>
      </c>
      <c r="C60" s="311">
        <f t="shared" si="2"/>
        <v>0</v>
      </c>
      <c r="D60" s="312">
        <f t="shared" si="2"/>
        <v>0</v>
      </c>
      <c r="E60" s="311">
        <f t="shared" si="2"/>
        <v>0</v>
      </c>
      <c r="F60" s="313"/>
    </row>
    <row r="61" spans="1:6" ht="13.5" thickBot="1" x14ac:dyDescent="0.25">
      <c r="A61" s="1565"/>
      <c r="B61" s="295" t="s">
        <v>103</v>
      </c>
      <c r="C61" s="309">
        <f t="shared" si="2"/>
        <v>0</v>
      </c>
      <c r="D61" s="301">
        <f t="shared" si="2"/>
        <v>0</v>
      </c>
      <c r="E61" s="309">
        <f t="shared" si="2"/>
        <v>0</v>
      </c>
      <c r="F61" s="307"/>
    </row>
    <row r="62" spans="1:6" ht="13.5" thickBot="1" x14ac:dyDescent="0.25">
      <c r="A62" s="1566"/>
      <c r="B62" s="310" t="s">
        <v>14</v>
      </c>
      <c r="C62" s="869">
        <f t="shared" si="2"/>
        <v>13928490</v>
      </c>
      <c r="D62" s="301">
        <f t="shared" si="2"/>
        <v>14511294</v>
      </c>
      <c r="E62" s="309">
        <f t="shared" si="2"/>
        <v>11061183</v>
      </c>
      <c r="F62" s="307">
        <f t="shared" si="3"/>
        <v>76.224649572946419</v>
      </c>
    </row>
  </sheetData>
  <mergeCells count="6">
    <mergeCell ref="A52:A62"/>
    <mergeCell ref="A1:F2"/>
    <mergeCell ref="A8:A18"/>
    <mergeCell ref="A19:A29"/>
    <mergeCell ref="A30:A40"/>
    <mergeCell ref="A41:A51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&amp;R2.3. sz. melléklet
...../2020.(VI.25.)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Q44"/>
  <sheetViews>
    <sheetView zoomScaleNormal="100" workbookViewId="0">
      <selection activeCell="H23" sqref="H23"/>
    </sheetView>
  </sheetViews>
  <sheetFormatPr defaultRowHeight="12.75" x14ac:dyDescent="0.2"/>
  <cols>
    <col min="1" max="1" width="30.5703125" customWidth="1"/>
    <col min="2" max="2" width="15.28515625" customWidth="1"/>
    <col min="3" max="3" width="17.42578125" customWidth="1"/>
    <col min="4" max="4" width="16" style="336" customWidth="1"/>
    <col min="5" max="5" width="13.5703125" customWidth="1"/>
    <col min="6" max="6" width="14.7109375" bestFit="1" customWidth="1"/>
    <col min="7" max="7" width="15.5703125" customWidth="1"/>
    <col min="8" max="8" width="14.5703125" customWidth="1"/>
    <col min="9" max="9" width="9.42578125" customWidth="1"/>
    <col min="10" max="10" width="14.7109375" bestFit="1" customWidth="1"/>
    <col min="11" max="11" width="15.42578125" customWidth="1"/>
    <col min="12" max="12" width="14.7109375" bestFit="1" customWidth="1"/>
    <col min="13" max="13" width="11.85546875" customWidth="1"/>
    <col min="14" max="14" width="15.85546875" bestFit="1" customWidth="1"/>
    <col min="15" max="15" width="17.5703125" bestFit="1" customWidth="1"/>
    <col min="16" max="16" width="15.85546875" bestFit="1" customWidth="1"/>
    <col min="17" max="17" width="14" bestFit="1" customWidth="1"/>
  </cols>
  <sheetData>
    <row r="1" spans="1:17" ht="7.5" customHeight="1" x14ac:dyDescent="0.2"/>
    <row r="2" spans="1:17" ht="30" customHeight="1" x14ac:dyDescent="0.25">
      <c r="A2" s="1534" t="s">
        <v>632</v>
      </c>
      <c r="B2" s="1534"/>
      <c r="C2" s="1534"/>
      <c r="D2" s="1534"/>
      <c r="E2" s="1534"/>
      <c r="F2" s="1534"/>
      <c r="G2" s="1534"/>
      <c r="H2" s="1534"/>
      <c r="I2" s="1534"/>
      <c r="J2" s="1534"/>
      <c r="K2" s="1534"/>
      <c r="L2" s="1534"/>
      <c r="M2" s="1534"/>
      <c r="N2" s="1534"/>
    </row>
    <row r="3" spans="1:17" ht="18.75" customHeight="1" x14ac:dyDescent="0.25">
      <c r="A3" s="71"/>
      <c r="B3" s="71"/>
      <c r="C3" s="71"/>
      <c r="D3" s="522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7" ht="18.75" customHeight="1" thickBot="1" x14ac:dyDescent="0.3">
      <c r="A4" s="7"/>
      <c r="B4" s="7"/>
      <c r="C4" s="7"/>
      <c r="D4" s="523"/>
      <c r="E4" s="7"/>
      <c r="F4" s="7"/>
      <c r="G4" s="7"/>
      <c r="H4" s="7"/>
      <c r="I4" s="7"/>
      <c r="J4" s="7"/>
      <c r="K4" s="7"/>
      <c r="L4" s="7"/>
      <c r="M4" s="7"/>
      <c r="N4" s="11" t="s">
        <v>530</v>
      </c>
    </row>
    <row r="5" spans="1:17" ht="18.75" customHeight="1" thickBot="1" x14ac:dyDescent="0.25">
      <c r="A5" s="1574" t="s">
        <v>16</v>
      </c>
      <c r="B5" s="1568" t="s">
        <v>146</v>
      </c>
      <c r="C5" s="1569"/>
      <c r="D5" s="1569"/>
      <c r="E5" s="1570"/>
      <c r="F5" s="1568" t="s">
        <v>510</v>
      </c>
      <c r="G5" s="1569"/>
      <c r="H5" s="1569"/>
      <c r="I5" s="1570"/>
      <c r="J5" s="1568" t="s">
        <v>158</v>
      </c>
      <c r="K5" s="1569"/>
      <c r="L5" s="1569"/>
      <c r="M5" s="1570"/>
      <c r="N5" s="1571" t="s">
        <v>17</v>
      </c>
      <c r="O5" s="1572"/>
      <c r="P5" s="1572"/>
      <c r="Q5" s="1573"/>
    </row>
    <row r="6" spans="1:17" ht="35.25" customHeight="1" thickBot="1" x14ac:dyDescent="0.25">
      <c r="A6" s="1575"/>
      <c r="B6" s="219" t="s">
        <v>147</v>
      </c>
      <c r="C6" s="220" t="s">
        <v>157</v>
      </c>
      <c r="D6" s="742" t="s">
        <v>149</v>
      </c>
      <c r="E6" s="220" t="s">
        <v>150</v>
      </c>
      <c r="F6" s="219" t="s">
        <v>147</v>
      </c>
      <c r="G6" s="220" t="s">
        <v>157</v>
      </c>
      <c r="H6" s="220" t="s">
        <v>149</v>
      </c>
      <c r="I6" s="220" t="s">
        <v>150</v>
      </c>
      <c r="J6" s="219" t="s">
        <v>147</v>
      </c>
      <c r="K6" s="220" t="s">
        <v>157</v>
      </c>
      <c r="L6" s="220" t="s">
        <v>149</v>
      </c>
      <c r="M6" s="220" t="s">
        <v>150</v>
      </c>
      <c r="N6" s="219" t="s">
        <v>147</v>
      </c>
      <c r="O6" s="220" t="s">
        <v>157</v>
      </c>
      <c r="P6" s="220" t="s">
        <v>149</v>
      </c>
      <c r="Q6" s="220" t="s">
        <v>150</v>
      </c>
    </row>
    <row r="7" spans="1:17" ht="15" customHeight="1" thickBot="1" x14ac:dyDescent="0.25">
      <c r="A7" s="339" t="s">
        <v>110</v>
      </c>
      <c r="B7" s="67">
        <f>B8+B10</f>
        <v>91005049</v>
      </c>
      <c r="C7" s="67">
        <f>C8+C10</f>
        <v>434213112</v>
      </c>
      <c r="D7" s="524">
        <f>D8+D10</f>
        <v>365595885</v>
      </c>
      <c r="E7" s="67">
        <f t="shared" ref="E7:E12" si="0">D7/C7*100</f>
        <v>84.197338794319961</v>
      </c>
      <c r="F7" s="67">
        <f>F8+F10</f>
        <v>86161905</v>
      </c>
      <c r="G7" s="67">
        <f>G8+G10</f>
        <v>103537054</v>
      </c>
      <c r="H7" s="230">
        <f>H8+H10</f>
        <v>103344196</v>
      </c>
      <c r="I7" s="67">
        <f>H7/G7*100</f>
        <v>99.813730454412962</v>
      </c>
      <c r="J7" s="67">
        <f>J8+J10</f>
        <v>6730135</v>
      </c>
      <c r="K7" s="67">
        <f>K8+K10</f>
        <v>7179483</v>
      </c>
      <c r="L7" s="230">
        <f>L8+L10</f>
        <v>5444385</v>
      </c>
      <c r="M7" s="67">
        <f>L7/K7*100</f>
        <v>75.832549502519882</v>
      </c>
      <c r="N7" s="69">
        <f t="shared" ref="N7:N40" si="1">J7+F7+B7</f>
        <v>183897089</v>
      </c>
      <c r="O7" s="69">
        <f t="shared" ref="O7:P29" si="2">K7+G7+C7</f>
        <v>544929649</v>
      </c>
      <c r="P7" s="69">
        <f t="shared" si="2"/>
        <v>474384466</v>
      </c>
      <c r="Q7" s="69">
        <f t="shared" ref="Q7:Q40" si="3">P7/O7*100</f>
        <v>87.054258631466013</v>
      </c>
    </row>
    <row r="8" spans="1:17" ht="30.6" customHeight="1" thickBot="1" x14ac:dyDescent="0.25">
      <c r="A8" s="340" t="s">
        <v>111</v>
      </c>
      <c r="B8" s="282">
        <v>63306605</v>
      </c>
      <c r="C8" s="48">
        <v>400434718</v>
      </c>
      <c r="D8" s="282">
        <v>333344019</v>
      </c>
      <c r="E8" s="67">
        <f t="shared" si="0"/>
        <v>83.245533919963449</v>
      </c>
      <c r="F8" s="278">
        <v>86161905</v>
      </c>
      <c r="G8" s="63">
        <v>101290236</v>
      </c>
      <c r="H8" s="48">
        <v>101097378</v>
      </c>
      <c r="I8" s="67">
        <f>H8/G8*100</f>
        <v>99.809598627058193</v>
      </c>
      <c r="J8" s="278">
        <v>6164295</v>
      </c>
      <c r="K8" s="63">
        <v>6613643</v>
      </c>
      <c r="L8" s="48">
        <v>4936891</v>
      </c>
      <c r="M8" s="67">
        <f>L8/K8*100</f>
        <v>74.647074237300075</v>
      </c>
      <c r="N8" s="69">
        <f t="shared" si="1"/>
        <v>155632805</v>
      </c>
      <c r="O8" s="69">
        <f t="shared" si="2"/>
        <v>508338597</v>
      </c>
      <c r="P8" s="69">
        <f t="shared" si="2"/>
        <v>439378288</v>
      </c>
      <c r="Q8" s="69">
        <f t="shared" si="3"/>
        <v>86.434178044520976</v>
      </c>
    </row>
    <row r="9" spans="1:17" ht="15" customHeight="1" thickBot="1" x14ac:dyDescent="0.25">
      <c r="A9" s="340" t="s">
        <v>115</v>
      </c>
      <c r="B9" s="232">
        <v>54321655</v>
      </c>
      <c r="C9" s="48">
        <v>394472666</v>
      </c>
      <c r="D9" s="282">
        <v>328066267</v>
      </c>
      <c r="E9" s="67">
        <f t="shared" si="0"/>
        <v>83.165779349588703</v>
      </c>
      <c r="F9" s="278"/>
      <c r="G9" s="63"/>
      <c r="H9" s="48"/>
      <c r="I9" s="67"/>
      <c r="J9" s="278"/>
      <c r="K9" s="63"/>
      <c r="L9" s="48"/>
      <c r="M9" s="67"/>
      <c r="N9" s="69">
        <f t="shared" si="1"/>
        <v>54321655</v>
      </c>
      <c r="O9" s="69">
        <f t="shared" si="2"/>
        <v>394472666</v>
      </c>
      <c r="P9" s="69">
        <f t="shared" si="2"/>
        <v>328066267</v>
      </c>
      <c r="Q9" s="69">
        <f t="shared" si="3"/>
        <v>83.165779349588703</v>
      </c>
    </row>
    <row r="10" spans="1:17" ht="15" customHeight="1" thickBot="1" x14ac:dyDescent="0.25">
      <c r="A10" s="341" t="s">
        <v>112</v>
      </c>
      <c r="B10" s="283">
        <v>27698444</v>
      </c>
      <c r="C10" s="49">
        <v>33778394</v>
      </c>
      <c r="D10" s="283">
        <v>32251866</v>
      </c>
      <c r="E10" s="67">
        <f t="shared" si="0"/>
        <v>95.480756130679282</v>
      </c>
      <c r="F10" s="279"/>
      <c r="G10" s="27">
        <v>2246818</v>
      </c>
      <c r="H10" s="49">
        <v>2246818</v>
      </c>
      <c r="I10" s="67">
        <f>H10/G10*100</f>
        <v>100</v>
      </c>
      <c r="J10" s="279">
        <v>565840</v>
      </c>
      <c r="K10" s="27">
        <v>565840</v>
      </c>
      <c r="L10" s="49">
        <v>507494</v>
      </c>
      <c r="M10" s="67">
        <f>L10/K10*100</f>
        <v>89.688604552523671</v>
      </c>
      <c r="N10" s="69">
        <f t="shared" si="1"/>
        <v>28264284</v>
      </c>
      <c r="O10" s="69">
        <f t="shared" si="2"/>
        <v>36591052</v>
      </c>
      <c r="P10" s="69">
        <f t="shared" si="2"/>
        <v>35006178</v>
      </c>
      <c r="Q10" s="69">
        <f t="shared" si="3"/>
        <v>95.668684245536312</v>
      </c>
    </row>
    <row r="11" spans="1:17" ht="27" customHeight="1" thickBot="1" x14ac:dyDescent="0.25">
      <c r="A11" s="342" t="s">
        <v>178</v>
      </c>
      <c r="B11" s="50">
        <v>26678444</v>
      </c>
      <c r="C11" s="50">
        <v>24307043</v>
      </c>
      <c r="D11" s="521">
        <v>23454920</v>
      </c>
      <c r="E11" s="67">
        <f>D11/C11*100</f>
        <v>96.49433705284514</v>
      </c>
      <c r="F11" s="280"/>
      <c r="G11" s="68"/>
      <c r="H11" s="50"/>
      <c r="I11" s="67"/>
      <c r="J11" s="280"/>
      <c r="K11" s="68"/>
      <c r="L11" s="50"/>
      <c r="M11" s="67"/>
      <c r="N11" s="69">
        <f t="shared" si="1"/>
        <v>26678444</v>
      </c>
      <c r="O11" s="69">
        <f t="shared" si="2"/>
        <v>24307043</v>
      </c>
      <c r="P11" s="69">
        <f t="shared" si="2"/>
        <v>23454920</v>
      </c>
      <c r="Q11" s="69">
        <f t="shared" si="3"/>
        <v>96.49433705284514</v>
      </c>
    </row>
    <row r="12" spans="1:17" ht="39" customHeight="1" thickBot="1" x14ac:dyDescent="0.25">
      <c r="A12" s="219" t="s">
        <v>108</v>
      </c>
      <c r="B12" s="69">
        <v>11979743</v>
      </c>
      <c r="C12" s="69">
        <v>45300901</v>
      </c>
      <c r="D12" s="525">
        <v>40180183</v>
      </c>
      <c r="E12" s="67">
        <f t="shared" si="0"/>
        <v>88.696211583076462</v>
      </c>
      <c r="F12" s="281">
        <f>Kiadások2!F10</f>
        <v>17677234</v>
      </c>
      <c r="G12" s="281">
        <f>Kiadások2!G10</f>
        <v>20166095</v>
      </c>
      <c r="H12" s="281">
        <f>Kiadások2!H10</f>
        <v>19710139</v>
      </c>
      <c r="I12" s="67">
        <f>H12/G12*100</f>
        <v>97.738997064131652</v>
      </c>
      <c r="J12" s="281">
        <f>Kiadások2!J10</f>
        <v>1301500</v>
      </c>
      <c r="K12" s="281">
        <f>Kiadások2!K10</f>
        <v>1386156</v>
      </c>
      <c r="L12" s="281">
        <f>Kiadások2!L10</f>
        <v>1007962</v>
      </c>
      <c r="M12" s="67">
        <f>L12/K12*100</f>
        <v>72.716346500682462</v>
      </c>
      <c r="N12" s="69">
        <f t="shared" ref="N12:P13" si="4">J12+F12+B12</f>
        <v>30958477</v>
      </c>
      <c r="O12" s="69">
        <f t="shared" si="4"/>
        <v>66853152</v>
      </c>
      <c r="P12" s="69">
        <f t="shared" si="4"/>
        <v>60898284</v>
      </c>
      <c r="Q12" s="69">
        <f t="shared" si="3"/>
        <v>91.092614451447247</v>
      </c>
    </row>
    <row r="13" spans="1:17" ht="15" customHeight="1" thickBot="1" x14ac:dyDescent="0.25">
      <c r="A13" s="343" t="s">
        <v>90</v>
      </c>
      <c r="B13" s="67">
        <v>167106883</v>
      </c>
      <c r="C13" s="67">
        <v>817070561</v>
      </c>
      <c r="D13" s="524">
        <v>401283243</v>
      </c>
      <c r="E13" s="67">
        <f t="shared" ref="E13:E40" si="5">D13/C13*100</f>
        <v>49.112434366607907</v>
      </c>
      <c r="F13" s="281">
        <f>Kiadások2!F11</f>
        <v>26098300</v>
      </c>
      <c r="G13" s="281">
        <f>Kiadások2!G11</f>
        <v>25971587</v>
      </c>
      <c r="H13" s="281">
        <f>Kiadások2!H11</f>
        <v>16535985</v>
      </c>
      <c r="I13" s="281">
        <f>Kiadások2!I11</f>
        <v>63.669520849842563</v>
      </c>
      <c r="J13" s="281">
        <f>Kiadások2!J11</f>
        <v>5424200</v>
      </c>
      <c r="K13" s="281">
        <f>Kiadások2!K11</f>
        <v>5473000</v>
      </c>
      <c r="L13" s="281">
        <f>Kiadások2!L11</f>
        <v>4136621</v>
      </c>
      <c r="M13" s="67">
        <f>L13/K13*100</f>
        <v>75.582331445276822</v>
      </c>
      <c r="N13" s="69">
        <f t="shared" si="4"/>
        <v>198629383</v>
      </c>
      <c r="O13" s="69">
        <f t="shared" si="4"/>
        <v>848515148</v>
      </c>
      <c r="P13" s="69">
        <f t="shared" si="4"/>
        <v>421955849</v>
      </c>
      <c r="Q13" s="69">
        <f t="shared" si="3"/>
        <v>49.728734954770658</v>
      </c>
    </row>
    <row r="14" spans="1:17" ht="15" customHeight="1" thickBot="1" x14ac:dyDescent="0.25">
      <c r="A14" s="344" t="s">
        <v>91</v>
      </c>
      <c r="B14" s="131">
        <v>34963165</v>
      </c>
      <c r="C14" s="131">
        <v>10215165</v>
      </c>
      <c r="D14" s="526">
        <v>9507143</v>
      </c>
      <c r="E14" s="67">
        <f t="shared" si="5"/>
        <v>93.068912739050219</v>
      </c>
      <c r="F14" s="281">
        <f>Kiadások2!F12</f>
        <v>0</v>
      </c>
      <c r="G14" s="281">
        <f>Kiadások2!G12</f>
        <v>0</v>
      </c>
      <c r="H14" s="281">
        <f>Kiadások2!H12</f>
        <v>0</v>
      </c>
      <c r="I14" s="67"/>
      <c r="J14" s="281">
        <f>Kiadások2!J12</f>
        <v>0</v>
      </c>
      <c r="K14" s="281">
        <f>Kiadások2!K12</f>
        <v>0</v>
      </c>
      <c r="L14" s="281">
        <f>Kiadások2!L12</f>
        <v>0</v>
      </c>
      <c r="M14" s="67"/>
      <c r="N14" s="69">
        <f t="shared" si="1"/>
        <v>34963165</v>
      </c>
      <c r="O14" s="69">
        <f t="shared" si="2"/>
        <v>10215165</v>
      </c>
      <c r="P14" s="69">
        <f t="shared" si="2"/>
        <v>9507143</v>
      </c>
      <c r="Q14" s="69">
        <f t="shared" si="3"/>
        <v>93.068912739050219</v>
      </c>
    </row>
    <row r="15" spans="1:17" s="25" customFormat="1" ht="29.25" customHeight="1" thickBot="1" x14ac:dyDescent="0.25">
      <c r="A15" s="345" t="s">
        <v>139</v>
      </c>
      <c r="B15" s="138">
        <f>SUM(B16:B35)</f>
        <v>79940511</v>
      </c>
      <c r="C15" s="527">
        <f>SUM(C16:C35)</f>
        <v>104211194</v>
      </c>
      <c r="D15" s="527">
        <f>SUM(D16:D35)</f>
        <v>103463523</v>
      </c>
      <c r="E15" s="1299">
        <f t="shared" si="5"/>
        <v>99.282542526093692</v>
      </c>
      <c r="F15" s="138">
        <f>SUM(F16:F35)</f>
        <v>5024165</v>
      </c>
      <c r="G15" s="138">
        <f>SUM(G16:G35)</f>
        <v>5024165</v>
      </c>
      <c r="H15" s="231">
        <f>SUM(H16:H35)</f>
        <v>5024165</v>
      </c>
      <c r="I15" s="1299">
        <f>H15/G15*100</f>
        <v>100</v>
      </c>
      <c r="J15" s="138">
        <f>SUM(J16:J35)</f>
        <v>447255</v>
      </c>
      <c r="K15" s="138">
        <f>SUM(K16:K35)</f>
        <v>447255</v>
      </c>
      <c r="L15" s="231">
        <f>SUM(L16:L35)</f>
        <v>447255</v>
      </c>
      <c r="M15" s="1299">
        <f>L15/K15*100</f>
        <v>100</v>
      </c>
      <c r="N15" s="69">
        <f t="shared" si="1"/>
        <v>85411931</v>
      </c>
      <c r="O15" s="69">
        <f t="shared" si="2"/>
        <v>109682614</v>
      </c>
      <c r="P15" s="69">
        <f t="shared" si="2"/>
        <v>108934943</v>
      </c>
      <c r="Q15" s="69">
        <f t="shared" si="3"/>
        <v>99.318332256377474</v>
      </c>
    </row>
    <row r="16" spans="1:17" ht="15" customHeight="1" thickBot="1" x14ac:dyDescent="0.25">
      <c r="A16" s="1290" t="s">
        <v>40</v>
      </c>
      <c r="B16" s="1302">
        <v>2786139</v>
      </c>
      <c r="C16" s="141"/>
      <c r="D16" s="141"/>
      <c r="E16" s="1310"/>
      <c r="F16" s="1210"/>
      <c r="G16" s="133"/>
      <c r="H16" s="133"/>
      <c r="I16" s="1310"/>
      <c r="J16" s="1210"/>
      <c r="K16" s="133"/>
      <c r="L16" s="133"/>
      <c r="M16" s="1303"/>
      <c r="N16" s="69">
        <f t="shared" si="1"/>
        <v>2786139</v>
      </c>
      <c r="O16" s="69">
        <f t="shared" si="2"/>
        <v>0</v>
      </c>
      <c r="P16" s="69">
        <f t="shared" si="2"/>
        <v>0</v>
      </c>
      <c r="Q16" s="69"/>
    </row>
    <row r="17" spans="1:17" ht="15" customHeight="1" thickBot="1" x14ac:dyDescent="0.25">
      <c r="A17" s="1291" t="s">
        <v>643</v>
      </c>
      <c r="B17" s="1304">
        <v>9000000</v>
      </c>
      <c r="C17" s="142"/>
      <c r="D17" s="142"/>
      <c r="E17" s="1311"/>
      <c r="F17" s="1211"/>
      <c r="G17" s="132"/>
      <c r="H17" s="132"/>
      <c r="I17" s="1311"/>
      <c r="J17" s="1211"/>
      <c r="K17" s="132"/>
      <c r="L17" s="132"/>
      <c r="M17" s="1305"/>
      <c r="N17" s="69"/>
      <c r="O17" s="69"/>
      <c r="P17" s="69"/>
      <c r="Q17" s="69"/>
    </row>
    <row r="18" spans="1:17" ht="15" customHeight="1" thickBot="1" x14ac:dyDescent="0.25">
      <c r="A18" s="1292" t="s">
        <v>644</v>
      </c>
      <c r="B18" s="1304">
        <v>23756000</v>
      </c>
      <c r="C18" s="142">
        <v>34278016</v>
      </c>
      <c r="D18" s="142">
        <v>30200000</v>
      </c>
      <c r="E18" s="1311"/>
      <c r="F18" s="1211"/>
      <c r="G18" s="132"/>
      <c r="H18" s="132"/>
      <c r="I18" s="1311"/>
      <c r="J18" s="1211"/>
      <c r="K18" s="132"/>
      <c r="L18" s="132"/>
      <c r="M18" s="1305"/>
      <c r="N18" s="69"/>
      <c r="O18" s="69"/>
      <c r="P18" s="69"/>
      <c r="Q18" s="69"/>
    </row>
    <row r="19" spans="1:17" ht="15" customHeight="1" thickBot="1" x14ac:dyDescent="0.25">
      <c r="A19" s="1292" t="s">
        <v>36</v>
      </c>
      <c r="B19" s="1306">
        <v>24345580</v>
      </c>
      <c r="C19" s="142">
        <v>27328292</v>
      </c>
      <c r="D19" s="142">
        <v>27288222</v>
      </c>
      <c r="E19" s="1311">
        <f t="shared" si="5"/>
        <v>99.853375395725436</v>
      </c>
      <c r="F19" s="1211">
        <v>5024165</v>
      </c>
      <c r="G19" s="132">
        <v>5024165</v>
      </c>
      <c r="H19" s="132">
        <v>5024165</v>
      </c>
      <c r="I19" s="1311">
        <f>H19/G19*100</f>
        <v>100</v>
      </c>
      <c r="J19" s="1211">
        <v>447255</v>
      </c>
      <c r="K19" s="132">
        <v>447255</v>
      </c>
      <c r="L19" s="132">
        <v>447255</v>
      </c>
      <c r="M19" s="1305"/>
      <c r="N19" s="69">
        <f t="shared" si="1"/>
        <v>29817000</v>
      </c>
      <c r="O19" s="69">
        <f t="shared" si="2"/>
        <v>32799712</v>
      </c>
      <c r="P19" s="69">
        <f t="shared" si="2"/>
        <v>32759642</v>
      </c>
      <c r="Q19" s="69">
        <f t="shared" si="3"/>
        <v>99.877834293179163</v>
      </c>
    </row>
    <row r="20" spans="1:17" s="24" customFormat="1" ht="39" customHeight="1" thickBot="1" x14ac:dyDescent="0.25">
      <c r="A20" s="1293" t="s">
        <v>645</v>
      </c>
      <c r="B20" s="1306">
        <v>50000</v>
      </c>
      <c r="C20" s="83">
        <v>50000</v>
      </c>
      <c r="D20" s="83">
        <v>72070</v>
      </c>
      <c r="E20" s="1312">
        <f t="shared" si="5"/>
        <v>144.14000000000001</v>
      </c>
      <c r="F20" s="1306"/>
      <c r="G20" s="83"/>
      <c r="H20" s="83"/>
      <c r="I20" s="1312"/>
      <c r="J20" s="1306"/>
      <c r="K20" s="83"/>
      <c r="L20" s="83"/>
      <c r="M20" s="1305"/>
      <c r="N20" s="797">
        <f t="shared" si="1"/>
        <v>50000</v>
      </c>
      <c r="O20" s="797">
        <f t="shared" si="2"/>
        <v>50000</v>
      </c>
      <c r="P20" s="797">
        <f t="shared" si="2"/>
        <v>72070</v>
      </c>
      <c r="Q20" s="797">
        <f t="shared" si="3"/>
        <v>144.14000000000001</v>
      </c>
    </row>
    <row r="21" spans="1:17" ht="30.75" customHeight="1" thickBot="1" x14ac:dyDescent="0.25">
      <c r="A21" s="1292" t="s">
        <v>41</v>
      </c>
      <c r="B21" s="1306">
        <v>10622443</v>
      </c>
      <c r="C21" s="83">
        <v>23277427</v>
      </c>
      <c r="D21" s="83">
        <v>23139727</v>
      </c>
      <c r="E21" s="1311">
        <f t="shared" si="5"/>
        <v>99.408439773004119</v>
      </c>
      <c r="F21" s="1211">
        <v>0</v>
      </c>
      <c r="G21" s="132"/>
      <c r="H21" s="132"/>
      <c r="I21" s="1311"/>
      <c r="J21" s="1211"/>
      <c r="K21" s="132"/>
      <c r="L21" s="132"/>
      <c r="M21" s="1305"/>
      <c r="N21" s="69">
        <f t="shared" si="1"/>
        <v>10622443</v>
      </c>
      <c r="O21" s="69">
        <f t="shared" si="2"/>
        <v>23277427</v>
      </c>
      <c r="P21" s="69">
        <f t="shared" si="2"/>
        <v>23139727</v>
      </c>
      <c r="Q21" s="69">
        <f t="shared" si="3"/>
        <v>99.408439773004119</v>
      </c>
    </row>
    <row r="22" spans="1:17" ht="26.25" thickBot="1" x14ac:dyDescent="0.25">
      <c r="A22" s="1293" t="s">
        <v>646</v>
      </c>
      <c r="B22" s="1306">
        <v>3919704</v>
      </c>
      <c r="C22" s="83"/>
      <c r="D22" s="83">
        <v>3919704</v>
      </c>
      <c r="E22" s="1311"/>
      <c r="F22" s="1211"/>
      <c r="G22" s="132"/>
      <c r="H22" s="132"/>
      <c r="I22" s="1311"/>
      <c r="J22" s="1211"/>
      <c r="K22" s="132"/>
      <c r="L22" s="132"/>
      <c r="M22" s="1305"/>
      <c r="N22" s="69">
        <f t="shared" si="1"/>
        <v>3919704</v>
      </c>
      <c r="O22" s="69">
        <f t="shared" si="2"/>
        <v>0</v>
      </c>
      <c r="P22" s="69">
        <f t="shared" si="2"/>
        <v>3919704</v>
      </c>
      <c r="Q22" s="69"/>
    </row>
    <row r="23" spans="1:17" ht="18.75" customHeight="1" thickBot="1" x14ac:dyDescent="0.25">
      <c r="A23" s="1292" t="s">
        <v>647</v>
      </c>
      <c r="B23" s="1306">
        <v>565446</v>
      </c>
      <c r="C23" s="83">
        <v>565446</v>
      </c>
      <c r="D23" s="83">
        <v>555503</v>
      </c>
      <c r="E23" s="1311">
        <f t="shared" si="5"/>
        <v>98.241565065452761</v>
      </c>
      <c r="F23" s="1211"/>
      <c r="G23" s="132"/>
      <c r="H23" s="132"/>
      <c r="I23" s="1311"/>
      <c r="J23" s="1211"/>
      <c r="K23" s="132"/>
      <c r="L23" s="132"/>
      <c r="M23" s="1305"/>
      <c r="N23" s="69">
        <f t="shared" si="1"/>
        <v>565446</v>
      </c>
      <c r="O23" s="69">
        <f t="shared" si="2"/>
        <v>565446</v>
      </c>
      <c r="P23" s="69">
        <f>L23+H23+D23</f>
        <v>555503</v>
      </c>
      <c r="Q23" s="69">
        <f>P23/O23*100</f>
        <v>98.241565065452761</v>
      </c>
    </row>
    <row r="24" spans="1:17" ht="18.75" customHeight="1" thickBot="1" x14ac:dyDescent="0.25">
      <c r="A24" s="1292" t="s">
        <v>657</v>
      </c>
      <c r="B24" s="1306"/>
      <c r="C24" s="83"/>
      <c r="D24" s="83">
        <v>23000</v>
      </c>
      <c r="E24" s="1311"/>
      <c r="F24" s="1211"/>
      <c r="G24" s="132"/>
      <c r="H24" s="132"/>
      <c r="I24" s="1311"/>
      <c r="J24" s="1211"/>
      <c r="K24" s="132"/>
      <c r="L24" s="132"/>
      <c r="M24" s="1305"/>
      <c r="N24" s="69"/>
      <c r="O24" s="69">
        <f t="shared" si="2"/>
        <v>0</v>
      </c>
      <c r="P24" s="69"/>
      <c r="Q24" s="69"/>
    </row>
    <row r="25" spans="1:17" ht="33.75" customHeight="1" thickBot="1" x14ac:dyDescent="0.25">
      <c r="A25" s="1292" t="s">
        <v>116</v>
      </c>
      <c r="B25" s="1306">
        <v>400000</v>
      </c>
      <c r="C25" s="83">
        <v>400000</v>
      </c>
      <c r="D25" s="83"/>
      <c r="E25" s="1311">
        <f t="shared" si="5"/>
        <v>0</v>
      </c>
      <c r="F25" s="1211"/>
      <c r="G25" s="132"/>
      <c r="H25" s="132"/>
      <c r="I25" s="1311"/>
      <c r="J25" s="1211"/>
      <c r="K25" s="132"/>
      <c r="L25" s="132"/>
      <c r="M25" s="1305"/>
      <c r="N25" s="69">
        <f t="shared" si="1"/>
        <v>400000</v>
      </c>
      <c r="O25" s="69">
        <f t="shared" si="2"/>
        <v>400000</v>
      </c>
      <c r="P25" s="69">
        <f>L25+H25+D25</f>
        <v>0</v>
      </c>
      <c r="Q25" s="69">
        <f>P25/O25*100</f>
        <v>0</v>
      </c>
    </row>
    <row r="26" spans="1:17" ht="29.25" customHeight="1" thickBot="1" x14ac:dyDescent="0.25">
      <c r="A26" s="1294" t="s">
        <v>648</v>
      </c>
      <c r="B26" s="1306">
        <v>1295199</v>
      </c>
      <c r="C26" s="83">
        <v>1295199</v>
      </c>
      <c r="D26" s="83">
        <v>1295199</v>
      </c>
      <c r="E26" s="1311">
        <f t="shared" si="5"/>
        <v>100</v>
      </c>
      <c r="F26" s="1211"/>
      <c r="G26" s="132"/>
      <c r="H26" s="132"/>
      <c r="I26" s="1311"/>
      <c r="J26" s="1211"/>
      <c r="K26" s="132"/>
      <c r="L26" s="132"/>
      <c r="M26" s="1305"/>
      <c r="N26" s="69">
        <f t="shared" si="1"/>
        <v>1295199</v>
      </c>
      <c r="O26" s="69">
        <f t="shared" si="2"/>
        <v>1295199</v>
      </c>
      <c r="P26" s="69">
        <f>L26+H26+D26</f>
        <v>1295199</v>
      </c>
      <c r="Q26" s="69">
        <f>P26/O26*100</f>
        <v>100</v>
      </c>
    </row>
    <row r="27" spans="1:17" ht="15" customHeight="1" thickBot="1" x14ac:dyDescent="0.25">
      <c r="A27" s="1295" t="s">
        <v>649</v>
      </c>
      <c r="B27" s="1211">
        <v>500000</v>
      </c>
      <c r="C27" s="83">
        <v>250000</v>
      </c>
      <c r="D27" s="83">
        <v>250000</v>
      </c>
      <c r="E27" s="1311">
        <f t="shared" si="5"/>
        <v>100</v>
      </c>
      <c r="F27" s="1211">
        <v>0</v>
      </c>
      <c r="G27" s="132"/>
      <c r="H27" s="132"/>
      <c r="I27" s="1311"/>
      <c r="J27" s="1211"/>
      <c r="K27" s="132"/>
      <c r="L27" s="132"/>
      <c r="M27" s="1305"/>
      <c r="N27" s="69">
        <f t="shared" si="1"/>
        <v>500000</v>
      </c>
      <c r="O27" s="69">
        <f t="shared" si="2"/>
        <v>250000</v>
      </c>
      <c r="P27" s="69">
        <f t="shared" si="2"/>
        <v>250000</v>
      </c>
      <c r="Q27" s="69">
        <f t="shared" si="3"/>
        <v>100</v>
      </c>
    </row>
    <row r="28" spans="1:17" ht="13.5" thickBot="1" x14ac:dyDescent="0.25">
      <c r="A28" s="1296" t="s">
        <v>650</v>
      </c>
      <c r="B28" s="1211">
        <v>1500000</v>
      </c>
      <c r="C28" s="83">
        <v>1500000</v>
      </c>
      <c r="D28" s="83">
        <v>1500000</v>
      </c>
      <c r="E28" s="1311">
        <f t="shared" si="5"/>
        <v>100</v>
      </c>
      <c r="F28" s="1211"/>
      <c r="G28" s="132"/>
      <c r="H28" s="132"/>
      <c r="I28" s="1311"/>
      <c r="J28" s="1211"/>
      <c r="K28" s="132"/>
      <c r="L28" s="132"/>
      <c r="M28" s="1305"/>
      <c r="N28" s="69">
        <f t="shared" si="1"/>
        <v>1500000</v>
      </c>
      <c r="O28" s="69">
        <f t="shared" si="2"/>
        <v>1500000</v>
      </c>
      <c r="P28" s="69">
        <f t="shared" si="2"/>
        <v>1500000</v>
      </c>
      <c r="Q28" s="69">
        <f t="shared" si="3"/>
        <v>100</v>
      </c>
    </row>
    <row r="29" spans="1:17" ht="13.5" thickBot="1" x14ac:dyDescent="0.25">
      <c r="A29" s="1296" t="s">
        <v>655</v>
      </c>
      <c r="B29" s="1211"/>
      <c r="C29" s="83">
        <v>260000</v>
      </c>
      <c r="D29" s="83">
        <v>250000</v>
      </c>
      <c r="E29" s="1311"/>
      <c r="F29" s="1211"/>
      <c r="G29" s="132"/>
      <c r="H29" s="132"/>
      <c r="I29" s="1311"/>
      <c r="J29" s="1211"/>
      <c r="K29" s="132"/>
      <c r="L29" s="132"/>
      <c r="M29" s="1305"/>
      <c r="N29" s="69"/>
      <c r="O29" s="69">
        <f t="shared" si="2"/>
        <v>260000</v>
      </c>
      <c r="P29" s="69"/>
      <c r="Q29" s="69"/>
    </row>
    <row r="30" spans="1:17" ht="18" customHeight="1" thickBot="1" x14ac:dyDescent="0.25">
      <c r="A30" s="1297" t="s">
        <v>652</v>
      </c>
      <c r="B30" s="1211">
        <v>1200000</v>
      </c>
      <c r="C30" s="83">
        <v>1200000</v>
      </c>
      <c r="D30" s="83">
        <v>1200000</v>
      </c>
      <c r="E30" s="1311">
        <f t="shared" si="5"/>
        <v>100</v>
      </c>
      <c r="F30" s="1211">
        <v>0</v>
      </c>
      <c r="G30" s="132"/>
      <c r="H30" s="132"/>
      <c r="I30" s="1311"/>
      <c r="J30" s="1211"/>
      <c r="K30" s="132"/>
      <c r="L30" s="132"/>
      <c r="M30" s="1305"/>
      <c r="N30" s="69">
        <f t="shared" si="1"/>
        <v>1200000</v>
      </c>
      <c r="O30" s="69">
        <f t="shared" ref="O30:P32" si="6">K30+G30+C30</f>
        <v>1200000</v>
      </c>
      <c r="P30" s="69">
        <f t="shared" si="6"/>
        <v>1200000</v>
      </c>
      <c r="Q30" s="69">
        <f t="shared" si="3"/>
        <v>100</v>
      </c>
    </row>
    <row r="31" spans="1:17" ht="25.9" customHeight="1" thickBot="1" x14ac:dyDescent="0.25">
      <c r="A31" s="1298" t="s">
        <v>552</v>
      </c>
      <c r="B31" s="1306"/>
      <c r="C31" s="83">
        <v>5000000</v>
      </c>
      <c r="D31" s="83">
        <v>5000000</v>
      </c>
      <c r="E31" s="1311">
        <f t="shared" si="5"/>
        <v>100</v>
      </c>
      <c r="F31" s="1211"/>
      <c r="G31" s="132"/>
      <c r="H31" s="132"/>
      <c r="I31" s="1311"/>
      <c r="J31" s="1211"/>
      <c r="K31" s="132"/>
      <c r="L31" s="132"/>
      <c r="M31" s="1305"/>
      <c r="N31" s="69">
        <f t="shared" si="1"/>
        <v>0</v>
      </c>
      <c r="O31" s="69">
        <f t="shared" si="6"/>
        <v>5000000</v>
      </c>
      <c r="P31" s="69">
        <f t="shared" si="6"/>
        <v>5000000</v>
      </c>
      <c r="Q31" s="69">
        <f t="shared" si="3"/>
        <v>100</v>
      </c>
    </row>
    <row r="32" spans="1:17" ht="25.9" customHeight="1" thickBot="1" x14ac:dyDescent="0.25">
      <c r="A32" s="1289" t="s">
        <v>656</v>
      </c>
      <c r="B32" s="1306"/>
      <c r="C32" s="83">
        <v>712816</v>
      </c>
      <c r="D32" s="83">
        <v>276100</v>
      </c>
      <c r="E32" s="1311">
        <f t="shared" si="5"/>
        <v>38.733698457947071</v>
      </c>
      <c r="F32" s="1211"/>
      <c r="G32" s="132"/>
      <c r="H32" s="132"/>
      <c r="I32" s="1311"/>
      <c r="J32" s="1211"/>
      <c r="K32" s="132"/>
      <c r="L32" s="132"/>
      <c r="M32" s="1305"/>
      <c r="N32" s="69"/>
      <c r="O32" s="69">
        <f t="shared" si="6"/>
        <v>712816</v>
      </c>
      <c r="P32" s="69"/>
      <c r="Q32" s="69"/>
    </row>
    <row r="33" spans="1:17" ht="32.25" customHeight="1" thickBot="1" x14ac:dyDescent="0.25">
      <c r="A33" s="1294" t="s">
        <v>651</v>
      </c>
      <c r="B33" s="1306"/>
      <c r="C33" s="83">
        <v>2547998</v>
      </c>
      <c r="D33" s="83">
        <v>2547998</v>
      </c>
      <c r="E33" s="1311">
        <f t="shared" si="5"/>
        <v>100</v>
      </c>
      <c r="F33" s="1211">
        <v>0</v>
      </c>
      <c r="G33" s="132"/>
      <c r="H33" s="132"/>
      <c r="I33" s="1311"/>
      <c r="J33" s="1211"/>
      <c r="K33" s="132"/>
      <c r="L33" s="132"/>
      <c r="M33" s="1305"/>
      <c r="N33" s="69">
        <f t="shared" si="1"/>
        <v>0</v>
      </c>
      <c r="O33" s="69">
        <f t="shared" ref="O33:O39" si="7">K33+G33+C33</f>
        <v>2547998</v>
      </c>
      <c r="P33" s="69">
        <f t="shared" ref="P33:P40" si="8">L33+H33+D33</f>
        <v>2547998</v>
      </c>
      <c r="Q33" s="69">
        <f t="shared" si="3"/>
        <v>100</v>
      </c>
    </row>
    <row r="34" spans="1:17" ht="15" customHeight="1" thickBot="1" x14ac:dyDescent="0.25">
      <c r="A34" s="342" t="s">
        <v>653</v>
      </c>
      <c r="B34" s="1306"/>
      <c r="C34" s="83">
        <v>4546000</v>
      </c>
      <c r="D34" s="83">
        <v>4946000</v>
      </c>
      <c r="E34" s="1311">
        <f t="shared" si="5"/>
        <v>108.79894412670478</v>
      </c>
      <c r="F34" s="1211"/>
      <c r="G34" s="132"/>
      <c r="H34" s="132"/>
      <c r="I34" s="1311"/>
      <c r="J34" s="1211"/>
      <c r="K34" s="132"/>
      <c r="L34" s="132"/>
      <c r="M34" s="1305"/>
      <c r="N34" s="69">
        <f t="shared" si="1"/>
        <v>0</v>
      </c>
      <c r="O34" s="69">
        <f t="shared" si="7"/>
        <v>4546000</v>
      </c>
      <c r="P34" s="69">
        <f t="shared" si="8"/>
        <v>4946000</v>
      </c>
      <c r="Q34" s="69">
        <f t="shared" si="3"/>
        <v>108.79894412670478</v>
      </c>
    </row>
    <row r="35" spans="1:17" ht="15" customHeight="1" thickBot="1" x14ac:dyDescent="0.25">
      <c r="A35" s="342" t="s">
        <v>654</v>
      </c>
      <c r="B35" s="1307"/>
      <c r="C35" s="1308">
        <v>1000000</v>
      </c>
      <c r="D35" s="1308">
        <v>1000000</v>
      </c>
      <c r="E35" s="1313">
        <f t="shared" si="5"/>
        <v>100</v>
      </c>
      <c r="F35" s="1318">
        <v>0</v>
      </c>
      <c r="G35" s="1319"/>
      <c r="H35" s="1319"/>
      <c r="I35" s="1313"/>
      <c r="J35" s="1318"/>
      <c r="K35" s="1319"/>
      <c r="L35" s="1319"/>
      <c r="M35" s="1309"/>
      <c r="N35" s="69">
        <f t="shared" si="1"/>
        <v>0</v>
      </c>
      <c r="O35" s="69">
        <f t="shared" si="7"/>
        <v>1000000</v>
      </c>
      <c r="P35" s="69">
        <f t="shared" si="8"/>
        <v>1000000</v>
      </c>
      <c r="Q35" s="69">
        <f t="shared" si="3"/>
        <v>100</v>
      </c>
    </row>
    <row r="36" spans="1:17" s="25" customFormat="1" ht="15" customHeight="1" thickBot="1" x14ac:dyDescent="0.25">
      <c r="A36" s="347" t="s">
        <v>177</v>
      </c>
      <c r="B36" s="1300">
        <v>10000000</v>
      </c>
      <c r="C36" s="1300">
        <v>2017288</v>
      </c>
      <c r="D36" s="1300">
        <f>Kiadások2!D24</f>
        <v>0</v>
      </c>
      <c r="E36" s="1301"/>
      <c r="F36" s="1314"/>
      <c r="G36" s="1315"/>
      <c r="H36" s="1316"/>
      <c r="I36" s="1317"/>
      <c r="J36" s="348"/>
      <c r="K36" s="348"/>
      <c r="L36" s="349"/>
      <c r="M36" s="140"/>
      <c r="N36" s="69">
        <f t="shared" si="1"/>
        <v>10000000</v>
      </c>
      <c r="O36" s="69">
        <f t="shared" si="7"/>
        <v>2017288</v>
      </c>
      <c r="P36" s="69">
        <f t="shared" si="8"/>
        <v>0</v>
      </c>
      <c r="Q36" s="69"/>
    </row>
    <row r="37" spans="1:17" s="25" customFormat="1" ht="15" customHeight="1" thickBot="1" x14ac:dyDescent="0.25">
      <c r="A37" s="343" t="s">
        <v>114</v>
      </c>
      <c r="B37" s="802">
        <f>SUM(B38:B39)</f>
        <v>158184848</v>
      </c>
      <c r="C37" s="802">
        <f>SUM(C38:C39)</f>
        <v>224097615</v>
      </c>
      <c r="D37" s="802">
        <f>SUM(D38:D39)</f>
        <v>209064070</v>
      </c>
      <c r="E37" s="67">
        <f t="shared" si="5"/>
        <v>93.291519412199008</v>
      </c>
      <c r="F37" s="139">
        <f>SUM(F38:F39)</f>
        <v>0</v>
      </c>
      <c r="G37" s="139">
        <f>SUM(G38:G39)</f>
        <v>0</v>
      </c>
      <c r="H37" s="139">
        <f>SUM(H38:H39)</f>
        <v>0</v>
      </c>
      <c r="I37" s="67"/>
      <c r="J37" s="140">
        <f>SUM(J38:J39)</f>
        <v>0</v>
      </c>
      <c r="K37" s="805">
        <f>SUM(K38:K39)</f>
        <v>0</v>
      </c>
      <c r="L37" s="806">
        <f>SUM(L38:L39)</f>
        <v>0</v>
      </c>
      <c r="M37" s="67"/>
      <c r="N37" s="69">
        <f t="shared" si="1"/>
        <v>158184848</v>
      </c>
      <c r="O37" s="69">
        <f t="shared" si="7"/>
        <v>224097615</v>
      </c>
      <c r="P37" s="69">
        <f t="shared" si="8"/>
        <v>209064070</v>
      </c>
      <c r="Q37" s="69">
        <f t="shared" si="3"/>
        <v>93.291519412199008</v>
      </c>
    </row>
    <row r="38" spans="1:17" ht="36.6" customHeight="1" thickBot="1" x14ac:dyDescent="0.25">
      <c r="A38" s="798" t="s">
        <v>469</v>
      </c>
      <c r="B38" s="803">
        <v>10128606</v>
      </c>
      <c r="C38" s="803">
        <v>62944621</v>
      </c>
      <c r="D38" s="803">
        <v>62944621</v>
      </c>
      <c r="E38" s="67">
        <f t="shared" si="5"/>
        <v>100</v>
      </c>
      <c r="F38" s="800"/>
      <c r="G38" s="800"/>
      <c r="H38" s="799"/>
      <c r="I38" s="67"/>
      <c r="J38" s="803"/>
      <c r="K38" s="807"/>
      <c r="L38" s="807"/>
      <c r="M38" s="69"/>
      <c r="N38" s="69">
        <f t="shared" si="1"/>
        <v>10128606</v>
      </c>
      <c r="O38" s="69">
        <f t="shared" si="7"/>
        <v>62944621</v>
      </c>
      <c r="P38" s="69">
        <f t="shared" si="8"/>
        <v>62944621</v>
      </c>
      <c r="Q38" s="69">
        <f t="shared" si="3"/>
        <v>100</v>
      </c>
    </row>
    <row r="39" spans="1:17" ht="24.6" customHeight="1" thickBot="1" x14ac:dyDescent="0.25">
      <c r="A39" s="346" t="s">
        <v>113</v>
      </c>
      <c r="B39" s="804">
        <f>Kiadások2!B15</f>
        <v>148056242</v>
      </c>
      <c r="C39" s="804">
        <f>Kiadások2!C15</f>
        <v>161152994</v>
      </c>
      <c r="D39" s="804">
        <f>Kiadások2!D15</f>
        <v>146119449</v>
      </c>
      <c r="E39" s="67">
        <f t="shared" si="5"/>
        <v>90.671259263107444</v>
      </c>
      <c r="F39" s="129">
        <v>0</v>
      </c>
      <c r="G39" s="129"/>
      <c r="H39" s="128"/>
      <c r="I39" s="67"/>
      <c r="J39" s="804"/>
      <c r="K39" s="130"/>
      <c r="L39" s="130"/>
      <c r="M39" s="69"/>
      <c r="N39" s="69">
        <f t="shared" si="1"/>
        <v>148056242</v>
      </c>
      <c r="O39" s="69">
        <f t="shared" si="7"/>
        <v>161152994</v>
      </c>
      <c r="P39" s="69">
        <f t="shared" si="8"/>
        <v>146119449</v>
      </c>
      <c r="Q39" s="69">
        <f t="shared" si="3"/>
        <v>90.671259263107444</v>
      </c>
    </row>
    <row r="40" spans="1:17" ht="13.5" thickBot="1" x14ac:dyDescent="0.25">
      <c r="A40" s="339" t="s">
        <v>18</v>
      </c>
      <c r="B40" s="67">
        <f>B7+B12+B13+B14+B15+B37+B36</f>
        <v>553180199</v>
      </c>
      <c r="C40" s="67">
        <f>C7+C12+C13+C14+C15+C37+C36</f>
        <v>1637125836</v>
      </c>
      <c r="D40" s="281">
        <f>D7+D12+D13+D14+D15+D37+D36</f>
        <v>1129094047</v>
      </c>
      <c r="E40" s="67">
        <f t="shared" si="5"/>
        <v>68.968067217039504</v>
      </c>
      <c r="F40" s="67">
        <f>F7+F12+F13+F14+F15+F37</f>
        <v>134961604</v>
      </c>
      <c r="G40" s="67">
        <f>G7+G12+G13+G14+G15+G37</f>
        <v>154698901</v>
      </c>
      <c r="H40" s="230">
        <f>H7+H12+H13+H14+H15+H37</f>
        <v>144614485</v>
      </c>
      <c r="I40" s="67">
        <f>H40/G40*100</f>
        <v>93.481262029133617</v>
      </c>
      <c r="J40" s="67">
        <f>J7+J12+J13+J14+J15+J37</f>
        <v>13903090</v>
      </c>
      <c r="K40" s="140">
        <f>K7+K12+K13+K14+K15+K37</f>
        <v>14485894</v>
      </c>
      <c r="L40" s="139">
        <f>L7+L12+L13+L14+L15+L37</f>
        <v>11036223</v>
      </c>
      <c r="M40" s="67">
        <f>L40/K40*100</f>
        <v>76.185998599741239</v>
      </c>
      <c r="N40" s="69">
        <f t="shared" si="1"/>
        <v>702044893</v>
      </c>
      <c r="O40" s="69">
        <f>K40+G40+C40</f>
        <v>1806310631</v>
      </c>
      <c r="P40" s="69">
        <f t="shared" si="8"/>
        <v>1284744755</v>
      </c>
      <c r="Q40" s="69">
        <f t="shared" si="3"/>
        <v>71.125349812548379</v>
      </c>
    </row>
    <row r="41" spans="1:17" x14ac:dyDescent="0.2">
      <c r="B41" s="72"/>
      <c r="C41" s="72"/>
      <c r="D41" s="338"/>
      <c r="E41" s="72"/>
      <c r="F41" s="2"/>
      <c r="G41" s="2"/>
      <c r="H41" s="2"/>
      <c r="I41" s="2"/>
    </row>
    <row r="42" spans="1:17" x14ac:dyDescent="0.2">
      <c r="B42" s="31"/>
      <c r="C42" s="31"/>
      <c r="D42" s="337"/>
      <c r="E42" s="31"/>
      <c r="F42" s="31"/>
      <c r="G42" s="31"/>
      <c r="H42" s="31"/>
      <c r="I42" s="31"/>
    </row>
    <row r="44" spans="1:17" x14ac:dyDescent="0.2">
      <c r="C44" s="31">
        <f>1129094047-D40</f>
        <v>0</v>
      </c>
    </row>
  </sheetData>
  <mergeCells count="6">
    <mergeCell ref="B5:E5"/>
    <mergeCell ref="F5:I5"/>
    <mergeCell ref="J5:M5"/>
    <mergeCell ref="N5:Q5"/>
    <mergeCell ref="A2:N2"/>
    <mergeCell ref="A5:A6"/>
  </mergeCells>
  <phoneticPr fontId="6" type="noConversion"/>
  <pageMargins left="0.78740157480314965" right="0.78740157480314965" top="0.39370078740157483" bottom="0.78740157480314965" header="0.51181102362204722" footer="0.51181102362204722"/>
  <pageSetup paperSize="9" scale="48" orientation="landscape" r:id="rId1"/>
  <headerFooter alignWithMargins="0">
    <oddHeader>&amp;R3.sz melléklet
..../2020.(VI.25.)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7" zoomScale="140" zoomScaleNormal="140" workbookViewId="0">
      <selection activeCell="E57" sqref="E57:F57"/>
    </sheetView>
  </sheetViews>
  <sheetFormatPr defaultRowHeight="12.75" x14ac:dyDescent="0.2"/>
  <cols>
    <col min="1" max="1" width="8.140625" customWidth="1"/>
    <col min="2" max="2" width="19.28515625" customWidth="1"/>
    <col min="3" max="3" width="79.7109375" bestFit="1" customWidth="1"/>
    <col min="4" max="4" width="20.85546875" customWidth="1"/>
    <col min="5" max="5" width="11.7109375" bestFit="1" customWidth="1"/>
    <col min="6" max="6" width="13.140625" customWidth="1"/>
    <col min="8" max="8" width="12.5703125" bestFit="1" customWidth="1"/>
  </cols>
  <sheetData>
    <row r="1" spans="1:8" x14ac:dyDescent="0.2">
      <c r="D1" s="32"/>
    </row>
    <row r="2" spans="1:8" x14ac:dyDescent="0.2">
      <c r="D2" s="32"/>
    </row>
    <row r="3" spans="1:8" x14ac:dyDescent="0.2">
      <c r="A3" s="1110"/>
      <c r="B3" s="1110"/>
      <c r="C3" s="1110"/>
      <c r="D3" s="1398"/>
    </row>
    <row r="4" spans="1:8" ht="15.75" x14ac:dyDescent="0.25">
      <c r="A4" s="1586" t="s">
        <v>571</v>
      </c>
      <c r="B4" s="1586"/>
      <c r="C4" s="1586"/>
      <c r="D4" s="1586"/>
      <c r="E4" s="1586"/>
      <c r="F4" s="1586"/>
      <c r="G4" s="1586"/>
      <c r="H4" s="1586"/>
    </row>
    <row r="5" spans="1:8" ht="13.5" thickBot="1" x14ac:dyDescent="0.25">
      <c r="A5" s="1110"/>
      <c r="B5" s="1110"/>
      <c r="C5" s="1110"/>
      <c r="D5" s="1399"/>
      <c r="G5" s="1527" t="s">
        <v>184</v>
      </c>
      <c r="H5" s="1527"/>
    </row>
    <row r="6" spans="1:8" x14ac:dyDescent="0.2">
      <c r="A6" s="1587" t="s">
        <v>727</v>
      </c>
      <c r="B6" s="1589" t="s">
        <v>117</v>
      </c>
      <c r="C6" s="1597" t="s">
        <v>20</v>
      </c>
      <c r="D6" s="1591" t="s">
        <v>637</v>
      </c>
      <c r="E6" s="1591"/>
      <c r="F6" s="1591"/>
      <c r="G6" s="1591"/>
      <c r="H6" s="1592"/>
    </row>
    <row r="7" spans="1:8" ht="13.5" thickBot="1" x14ac:dyDescent="0.25">
      <c r="A7" s="1588"/>
      <c r="B7" s="1590"/>
      <c r="C7" s="1598"/>
      <c r="D7" s="1409" t="s">
        <v>583</v>
      </c>
      <c r="E7" s="1593" t="s">
        <v>584</v>
      </c>
      <c r="F7" s="1593"/>
      <c r="G7" s="1593" t="s">
        <v>149</v>
      </c>
      <c r="H7" s="1594"/>
    </row>
    <row r="8" spans="1:8" x14ac:dyDescent="0.2">
      <c r="A8" s="1406" t="s">
        <v>0</v>
      </c>
      <c r="B8" s="1476" t="s">
        <v>435</v>
      </c>
      <c r="C8" s="1477" t="s">
        <v>783</v>
      </c>
      <c r="D8" s="1478"/>
      <c r="E8" s="1584">
        <v>8021574</v>
      </c>
      <c r="F8" s="1584"/>
      <c r="G8" s="1584">
        <v>9420920</v>
      </c>
      <c r="H8" s="1585"/>
    </row>
    <row r="9" spans="1:8" x14ac:dyDescent="0.2">
      <c r="A9" s="1405" t="s">
        <v>4</v>
      </c>
      <c r="B9" s="1479" t="s">
        <v>435</v>
      </c>
      <c r="C9" s="1480" t="s">
        <v>784</v>
      </c>
      <c r="D9" s="222"/>
      <c r="E9" s="1576">
        <v>723000</v>
      </c>
      <c r="F9" s="1576"/>
      <c r="G9" s="1576">
        <v>402060</v>
      </c>
      <c r="H9" s="1577"/>
    </row>
    <row r="10" spans="1:8" x14ac:dyDescent="0.2">
      <c r="A10" s="1406" t="s">
        <v>8</v>
      </c>
      <c r="B10" s="1479" t="s">
        <v>176</v>
      </c>
      <c r="C10" s="1480" t="s">
        <v>785</v>
      </c>
      <c r="D10" s="222"/>
      <c r="E10" s="1576">
        <v>6532000</v>
      </c>
      <c r="F10" s="1576"/>
      <c r="G10" s="1576">
        <v>8685002</v>
      </c>
      <c r="H10" s="1577"/>
    </row>
    <row r="11" spans="1:8" x14ac:dyDescent="0.2">
      <c r="A11" s="1405" t="s">
        <v>2</v>
      </c>
      <c r="B11" s="1402" t="s">
        <v>118</v>
      </c>
      <c r="C11" s="1403" t="s">
        <v>728</v>
      </c>
      <c r="D11" s="222">
        <v>2500000</v>
      </c>
      <c r="E11" s="1576">
        <v>1346835</v>
      </c>
      <c r="F11" s="1576"/>
      <c r="G11" s="1576">
        <v>1270980</v>
      </c>
      <c r="H11" s="1577"/>
    </row>
    <row r="12" spans="1:8" x14ac:dyDescent="0.2">
      <c r="A12" s="1406" t="s">
        <v>5</v>
      </c>
      <c r="B12" s="1402" t="s">
        <v>118</v>
      </c>
      <c r="C12" s="1403" t="s">
        <v>572</v>
      </c>
      <c r="D12" s="222">
        <v>8902123</v>
      </c>
      <c r="E12" s="1576">
        <v>7902123</v>
      </c>
      <c r="F12" s="1576"/>
      <c r="G12" s="1576">
        <v>187960</v>
      </c>
      <c r="H12" s="1577"/>
    </row>
    <row r="13" spans="1:8" x14ac:dyDescent="0.2">
      <c r="A13" s="1405" t="s">
        <v>9</v>
      </c>
      <c r="B13" s="1481" t="s">
        <v>119</v>
      </c>
      <c r="C13" s="1482" t="s">
        <v>786</v>
      </c>
      <c r="D13" s="1404"/>
      <c r="E13" s="1576">
        <v>17450208</v>
      </c>
      <c r="F13" s="1576"/>
      <c r="G13" s="1576">
        <v>17450208</v>
      </c>
      <c r="H13" s="1577"/>
    </row>
    <row r="14" spans="1:8" x14ac:dyDescent="0.2">
      <c r="A14" s="1406" t="s">
        <v>3</v>
      </c>
      <c r="B14" s="1402" t="s">
        <v>729</v>
      </c>
      <c r="C14" s="1403" t="s">
        <v>730</v>
      </c>
      <c r="D14" s="1404">
        <v>2024000</v>
      </c>
      <c r="E14" s="1576">
        <v>2024000</v>
      </c>
      <c r="F14" s="1576"/>
      <c r="G14" s="1576">
        <v>2024000</v>
      </c>
      <c r="H14" s="1577"/>
    </row>
    <row r="15" spans="1:8" ht="13.5" thickBot="1" x14ac:dyDescent="0.25">
      <c r="A15" s="1405" t="s">
        <v>10</v>
      </c>
      <c r="B15" s="1411" t="s">
        <v>787</v>
      </c>
      <c r="C15" s="1412" t="s">
        <v>788</v>
      </c>
      <c r="D15" s="1413"/>
      <c r="E15" s="1578">
        <v>1391687</v>
      </c>
      <c r="F15" s="1578"/>
      <c r="G15" s="1578"/>
      <c r="H15" s="1579"/>
    </row>
    <row r="16" spans="1:8" ht="13.5" thickBot="1" x14ac:dyDescent="0.25">
      <c r="A16" s="1580" t="s">
        <v>11</v>
      </c>
      <c r="B16" s="1581"/>
      <c r="C16" s="1581"/>
      <c r="D16" s="1414">
        <f>SUM(D8:D15)</f>
        <v>13426123</v>
      </c>
      <c r="E16" s="1595">
        <f>SUM(E8:F15)</f>
        <v>45391427</v>
      </c>
      <c r="F16" s="1595"/>
      <c r="G16" s="1595">
        <f>SUM(G8:H15)</f>
        <v>39441130</v>
      </c>
      <c r="H16" s="1596"/>
    </row>
    <row r="17" spans="1:8" x14ac:dyDescent="0.2">
      <c r="A17" s="1110"/>
      <c r="B17" s="1110"/>
      <c r="C17" s="1110"/>
      <c r="D17" s="1398"/>
    </row>
    <row r="18" spans="1:8" x14ac:dyDescent="0.2">
      <c r="A18" s="1110"/>
      <c r="B18" s="1110"/>
      <c r="C18" s="1110"/>
      <c r="D18" s="1398"/>
    </row>
    <row r="19" spans="1:8" ht="15.75" x14ac:dyDescent="0.25">
      <c r="A19" s="1586" t="s">
        <v>35</v>
      </c>
      <c r="B19" s="1586"/>
      <c r="C19" s="1586"/>
      <c r="D19" s="1586"/>
      <c r="E19" s="1586"/>
      <c r="F19" s="1586"/>
      <c r="G19" s="1586"/>
      <c r="H19" s="1586"/>
    </row>
    <row r="20" spans="1:8" ht="13.5" thickBot="1" x14ac:dyDescent="0.25">
      <c r="A20" s="1400"/>
      <c r="B20" s="1400"/>
      <c r="C20" s="1400"/>
      <c r="D20" s="1399"/>
      <c r="G20" s="1527" t="s">
        <v>184</v>
      </c>
      <c r="H20" s="1527"/>
    </row>
    <row r="21" spans="1:8" x14ac:dyDescent="0.2">
      <c r="A21" s="1587" t="s">
        <v>727</v>
      </c>
      <c r="B21" s="1589" t="s">
        <v>117</v>
      </c>
      <c r="C21" s="1589" t="s">
        <v>731</v>
      </c>
      <c r="D21" s="1591" t="s">
        <v>637</v>
      </c>
      <c r="E21" s="1591"/>
      <c r="F21" s="1591"/>
      <c r="G21" s="1591"/>
      <c r="H21" s="1592"/>
    </row>
    <row r="22" spans="1:8" ht="13.5" thickBot="1" x14ac:dyDescent="0.25">
      <c r="A22" s="1588"/>
      <c r="B22" s="1590"/>
      <c r="C22" s="1590"/>
      <c r="D22" s="1409" t="s">
        <v>583</v>
      </c>
      <c r="E22" s="1593" t="s">
        <v>584</v>
      </c>
      <c r="F22" s="1593"/>
      <c r="G22" s="1593" t="s">
        <v>149</v>
      </c>
      <c r="H22" s="1594"/>
    </row>
    <row r="23" spans="1:8" x14ac:dyDescent="0.2">
      <c r="A23" s="1406" t="s">
        <v>0</v>
      </c>
      <c r="B23" s="1483" t="s">
        <v>120</v>
      </c>
      <c r="C23" s="1407" t="s">
        <v>732</v>
      </c>
      <c r="D23" s="1408">
        <v>2012000</v>
      </c>
      <c r="E23" s="1584">
        <v>2012000</v>
      </c>
      <c r="F23" s="1584"/>
      <c r="G23" s="1584">
        <v>1090791</v>
      </c>
      <c r="H23" s="1585"/>
    </row>
    <row r="24" spans="1:8" x14ac:dyDescent="0.2">
      <c r="A24" s="1405" t="s">
        <v>4</v>
      </c>
      <c r="B24" s="1484" t="s">
        <v>789</v>
      </c>
      <c r="C24" s="1403" t="s">
        <v>790</v>
      </c>
      <c r="D24" s="1404"/>
      <c r="E24" s="1576"/>
      <c r="F24" s="1576"/>
      <c r="G24" s="1576">
        <v>2159</v>
      </c>
      <c r="H24" s="1577"/>
    </row>
    <row r="25" spans="1:8" x14ac:dyDescent="0.2">
      <c r="A25" s="1405" t="s">
        <v>8</v>
      </c>
      <c r="B25" s="1484" t="s">
        <v>120</v>
      </c>
      <c r="C25" s="1403" t="s">
        <v>733</v>
      </c>
      <c r="D25" s="1404">
        <v>1575000</v>
      </c>
      <c r="E25" s="1576">
        <v>1575000</v>
      </c>
      <c r="F25" s="1576"/>
      <c r="G25" s="1576">
        <v>337500</v>
      </c>
      <c r="H25" s="1577"/>
    </row>
    <row r="26" spans="1:8" x14ac:dyDescent="0.2">
      <c r="A26" s="1405" t="s">
        <v>2</v>
      </c>
      <c r="B26" s="1484" t="s">
        <v>120</v>
      </c>
      <c r="C26" s="1403" t="s">
        <v>791</v>
      </c>
      <c r="D26" s="1404"/>
      <c r="E26" s="1576">
        <v>70000</v>
      </c>
      <c r="F26" s="1576"/>
      <c r="G26" s="1576">
        <v>40998</v>
      </c>
      <c r="H26" s="1577"/>
    </row>
    <row r="27" spans="1:8" x14ac:dyDescent="0.2">
      <c r="A27" s="1405" t="s">
        <v>5</v>
      </c>
      <c r="B27" s="1484" t="s">
        <v>120</v>
      </c>
      <c r="C27" s="1403" t="s">
        <v>734</v>
      </c>
      <c r="D27" s="1404">
        <v>2700000</v>
      </c>
      <c r="E27" s="1576">
        <v>2700000</v>
      </c>
      <c r="F27" s="1576"/>
      <c r="G27" s="1576">
        <v>900000</v>
      </c>
      <c r="H27" s="1577"/>
    </row>
    <row r="28" spans="1:8" x14ac:dyDescent="0.2">
      <c r="A28" s="1405" t="s">
        <v>9</v>
      </c>
      <c r="B28" s="1402" t="s">
        <v>735</v>
      </c>
      <c r="C28" s="1403" t="s">
        <v>736</v>
      </c>
      <c r="D28" s="1404">
        <f>2208000+597000</f>
        <v>2805000</v>
      </c>
      <c r="E28" s="1576">
        <v>2487500</v>
      </c>
      <c r="F28" s="1576"/>
      <c r="G28" s="1576">
        <v>1591310</v>
      </c>
      <c r="H28" s="1577"/>
    </row>
    <row r="29" spans="1:8" x14ac:dyDescent="0.2">
      <c r="A29" s="1405" t="s">
        <v>3</v>
      </c>
      <c r="B29" s="1402" t="s">
        <v>435</v>
      </c>
      <c r="C29" s="1403" t="s">
        <v>734</v>
      </c>
      <c r="D29" s="1404"/>
      <c r="E29" s="1576"/>
      <c r="F29" s="1576"/>
      <c r="G29" s="1576">
        <v>2700000</v>
      </c>
      <c r="H29" s="1577"/>
    </row>
    <row r="30" spans="1:8" x14ac:dyDescent="0.2">
      <c r="A30" s="1405" t="s">
        <v>10</v>
      </c>
      <c r="B30" s="1402" t="s">
        <v>435</v>
      </c>
      <c r="C30" s="1403" t="s">
        <v>737</v>
      </c>
      <c r="D30" s="1404">
        <f>211500+57105</f>
        <v>268605</v>
      </c>
      <c r="E30" s="1576">
        <v>268605</v>
      </c>
      <c r="F30" s="1576"/>
      <c r="G30" s="1576"/>
      <c r="H30" s="1577"/>
    </row>
    <row r="31" spans="1:8" x14ac:dyDescent="0.2">
      <c r="A31" s="1405" t="s">
        <v>6</v>
      </c>
      <c r="B31" s="1402" t="s">
        <v>435</v>
      </c>
      <c r="C31" s="1403" t="s">
        <v>792</v>
      </c>
      <c r="D31" s="1404"/>
      <c r="E31" s="1576"/>
      <c r="F31" s="1576"/>
      <c r="G31" s="1576">
        <v>50000</v>
      </c>
      <c r="H31" s="1577"/>
    </row>
    <row r="32" spans="1:8" x14ac:dyDescent="0.2">
      <c r="A32" s="1405" t="s">
        <v>1</v>
      </c>
      <c r="B32" s="1402" t="s">
        <v>435</v>
      </c>
      <c r="C32" s="1403" t="s">
        <v>793</v>
      </c>
      <c r="D32" s="1404"/>
      <c r="E32" s="1576">
        <v>50000</v>
      </c>
      <c r="F32" s="1576"/>
      <c r="G32" s="1576">
        <v>100000</v>
      </c>
      <c r="H32" s="1577"/>
    </row>
    <row r="33" spans="1:8" x14ac:dyDescent="0.2">
      <c r="A33" s="1405" t="s">
        <v>7</v>
      </c>
      <c r="B33" s="1402" t="s">
        <v>435</v>
      </c>
      <c r="C33" s="1403" t="s">
        <v>738</v>
      </c>
      <c r="D33" s="1354">
        <v>2500000</v>
      </c>
      <c r="E33" s="1576">
        <v>2500000</v>
      </c>
      <c r="F33" s="1576"/>
      <c r="G33" s="1576">
        <v>2500000</v>
      </c>
      <c r="H33" s="1577"/>
    </row>
    <row r="34" spans="1:8" x14ac:dyDescent="0.2">
      <c r="A34" s="1405" t="s">
        <v>15</v>
      </c>
      <c r="B34" s="1402" t="s">
        <v>435</v>
      </c>
      <c r="C34" s="1403" t="s">
        <v>794</v>
      </c>
      <c r="D34" s="1354"/>
      <c r="E34" s="1576"/>
      <c r="F34" s="1576"/>
      <c r="G34" s="1576">
        <v>50800</v>
      </c>
      <c r="H34" s="1577"/>
    </row>
    <row r="35" spans="1:8" x14ac:dyDescent="0.2">
      <c r="A35" s="1405" t="s">
        <v>13</v>
      </c>
      <c r="B35" s="1402" t="s">
        <v>435</v>
      </c>
      <c r="C35" s="1403" t="s">
        <v>573</v>
      </c>
      <c r="D35" s="1354">
        <f>54462381+14704843</f>
        <v>69167224</v>
      </c>
      <c r="E35" s="1576">
        <v>60145650</v>
      </c>
      <c r="F35" s="1576"/>
      <c r="G35" s="1576">
        <v>19821181</v>
      </c>
      <c r="H35" s="1577"/>
    </row>
    <row r="36" spans="1:8" x14ac:dyDescent="0.2">
      <c r="A36" s="1405" t="s">
        <v>25</v>
      </c>
      <c r="B36" s="1402" t="s">
        <v>435</v>
      </c>
      <c r="C36" s="1403" t="s">
        <v>739</v>
      </c>
      <c r="D36" s="1354">
        <f>252000+68000</f>
        <v>320000</v>
      </c>
      <c r="E36" s="1576">
        <v>320000</v>
      </c>
      <c r="F36" s="1576"/>
      <c r="G36" s="1576">
        <v>320000</v>
      </c>
      <c r="H36" s="1577"/>
    </row>
    <row r="37" spans="1:8" x14ac:dyDescent="0.2">
      <c r="A37" s="1405" t="s">
        <v>28</v>
      </c>
      <c r="B37" s="1402" t="s">
        <v>435</v>
      </c>
      <c r="C37" s="1403" t="s">
        <v>740</v>
      </c>
      <c r="D37" s="1354">
        <v>1400000</v>
      </c>
      <c r="E37" s="1576">
        <v>1400000</v>
      </c>
      <c r="F37" s="1576"/>
      <c r="G37" s="1576">
        <v>1400000</v>
      </c>
      <c r="H37" s="1577"/>
    </row>
    <row r="38" spans="1:8" x14ac:dyDescent="0.2">
      <c r="A38" s="1405" t="s">
        <v>26</v>
      </c>
      <c r="B38" s="1402" t="s">
        <v>435</v>
      </c>
      <c r="C38" s="1403" t="s">
        <v>795</v>
      </c>
      <c r="D38" s="1354"/>
      <c r="E38" s="1576"/>
      <c r="F38" s="1576"/>
      <c r="G38" s="1576">
        <v>184220</v>
      </c>
      <c r="H38" s="1577"/>
    </row>
    <row r="39" spans="1:8" x14ac:dyDescent="0.2">
      <c r="A39" s="1405" t="s">
        <v>27</v>
      </c>
      <c r="B39" s="1402" t="s">
        <v>176</v>
      </c>
      <c r="C39" s="1403" t="s">
        <v>796</v>
      </c>
      <c r="D39" s="1354"/>
      <c r="E39" s="1576">
        <v>42396537</v>
      </c>
      <c r="F39" s="1576"/>
      <c r="G39" s="1576">
        <v>34818437</v>
      </c>
      <c r="H39" s="1577"/>
    </row>
    <row r="40" spans="1:8" x14ac:dyDescent="0.2">
      <c r="A40" s="1405" t="s">
        <v>29</v>
      </c>
      <c r="B40" s="1402" t="s">
        <v>176</v>
      </c>
      <c r="C40" s="1403" t="s">
        <v>797</v>
      </c>
      <c r="D40" s="1354"/>
      <c r="E40" s="1576">
        <v>540268</v>
      </c>
      <c r="F40" s="1576"/>
      <c r="G40" s="1576">
        <v>645264</v>
      </c>
      <c r="H40" s="1577"/>
    </row>
    <row r="41" spans="1:8" x14ac:dyDescent="0.2">
      <c r="A41" s="1405" t="s">
        <v>30</v>
      </c>
      <c r="B41" s="1402" t="s">
        <v>176</v>
      </c>
      <c r="C41" s="1403" t="s">
        <v>741</v>
      </c>
      <c r="D41" s="1354">
        <f>6617034+1786599</f>
        <v>8403633</v>
      </c>
      <c r="E41" s="1576">
        <v>6460687</v>
      </c>
      <c r="F41" s="1576"/>
      <c r="G41" s="1576">
        <v>6299390</v>
      </c>
      <c r="H41" s="1577"/>
    </row>
    <row r="42" spans="1:8" x14ac:dyDescent="0.2">
      <c r="A42" s="1405" t="s">
        <v>31</v>
      </c>
      <c r="B42" s="1402" t="s">
        <v>542</v>
      </c>
      <c r="C42" s="1403" t="s">
        <v>742</v>
      </c>
      <c r="D42" s="1354">
        <f>551200+148800</f>
        <v>700000</v>
      </c>
      <c r="E42" s="1576">
        <v>700000</v>
      </c>
      <c r="F42" s="1576"/>
      <c r="G42" s="1576">
        <v>483790</v>
      </c>
      <c r="H42" s="1577"/>
    </row>
    <row r="43" spans="1:8" x14ac:dyDescent="0.2">
      <c r="A43" s="1405" t="s">
        <v>12</v>
      </c>
      <c r="B43" s="1402" t="s">
        <v>118</v>
      </c>
      <c r="C43" s="1403" t="s">
        <v>743</v>
      </c>
      <c r="D43" s="1354">
        <v>300000</v>
      </c>
      <c r="E43" s="1576">
        <v>300000</v>
      </c>
      <c r="F43" s="1576"/>
      <c r="G43" s="1576">
        <v>490629</v>
      </c>
      <c r="H43" s="1577"/>
    </row>
    <row r="44" spans="1:8" x14ac:dyDescent="0.2">
      <c r="A44" s="1405" t="s">
        <v>32</v>
      </c>
      <c r="B44" s="1402" t="s">
        <v>118</v>
      </c>
      <c r="C44" s="1403" t="s">
        <v>744</v>
      </c>
      <c r="D44" s="1354">
        <f>37352243+10085105</f>
        <v>47437348</v>
      </c>
      <c r="E44" s="1576">
        <v>47437348</v>
      </c>
      <c r="F44" s="1576"/>
      <c r="G44" s="1576">
        <v>2286000</v>
      </c>
      <c r="H44" s="1577"/>
    </row>
    <row r="45" spans="1:8" x14ac:dyDescent="0.2">
      <c r="A45" s="1405" t="s">
        <v>33</v>
      </c>
      <c r="B45" s="1402" t="s">
        <v>118</v>
      </c>
      <c r="C45" s="1403" t="s">
        <v>745</v>
      </c>
      <c r="D45" s="1354">
        <f>427497480+115424320</f>
        <v>542921800</v>
      </c>
      <c r="E45" s="1576">
        <v>530246874</v>
      </c>
      <c r="F45" s="1576"/>
      <c r="G45" s="1576">
        <v>16510000</v>
      </c>
      <c r="H45" s="1577"/>
    </row>
    <row r="46" spans="1:8" x14ac:dyDescent="0.2">
      <c r="A46" s="1405" t="s">
        <v>34</v>
      </c>
      <c r="B46" s="1402" t="s">
        <v>118</v>
      </c>
      <c r="C46" s="1403" t="s">
        <v>746</v>
      </c>
      <c r="D46" s="1354">
        <f>132443228+35759672</f>
        <v>168202900</v>
      </c>
      <c r="E46" s="1576">
        <v>149385223</v>
      </c>
      <c r="F46" s="1576"/>
      <c r="G46" s="1576">
        <v>71282174</v>
      </c>
      <c r="H46" s="1577"/>
    </row>
    <row r="47" spans="1:8" ht="25.5" x14ac:dyDescent="0.2">
      <c r="A47" s="1405" t="s">
        <v>37</v>
      </c>
      <c r="B47" s="1402" t="s">
        <v>118</v>
      </c>
      <c r="C47" s="1485" t="s">
        <v>747</v>
      </c>
      <c r="D47" s="1354">
        <f>109949617+29686396</f>
        <v>139636013</v>
      </c>
      <c r="E47" s="1576">
        <v>126961087</v>
      </c>
      <c r="F47" s="1576"/>
      <c r="G47" s="1576">
        <v>91114789</v>
      </c>
      <c r="H47" s="1577"/>
    </row>
    <row r="48" spans="1:8" x14ac:dyDescent="0.2">
      <c r="A48" s="1405" t="s">
        <v>38</v>
      </c>
      <c r="B48" s="1402" t="s">
        <v>119</v>
      </c>
      <c r="C48" s="1485" t="s">
        <v>748</v>
      </c>
      <c r="D48" s="1354">
        <f>107619065+29057147</f>
        <v>136676212</v>
      </c>
      <c r="E48" s="1576">
        <v>136676212</v>
      </c>
      <c r="F48" s="1576"/>
      <c r="G48" s="1576">
        <v>203200</v>
      </c>
      <c r="H48" s="1577"/>
    </row>
    <row r="49" spans="1:8" x14ac:dyDescent="0.2">
      <c r="A49" s="1405" t="s">
        <v>39</v>
      </c>
      <c r="B49" s="1402" t="s">
        <v>543</v>
      </c>
      <c r="C49" s="1403" t="s">
        <v>749</v>
      </c>
      <c r="D49" s="1354">
        <f>1095161306+295693552</f>
        <v>1390854858</v>
      </c>
      <c r="E49" s="1576">
        <v>586479311</v>
      </c>
      <c r="F49" s="1576"/>
      <c r="G49" s="1576">
        <v>586479311</v>
      </c>
      <c r="H49" s="1577"/>
    </row>
    <row r="50" spans="1:8" x14ac:dyDescent="0.2">
      <c r="A50" s="1405" t="s">
        <v>159</v>
      </c>
      <c r="B50" s="1402" t="s">
        <v>798</v>
      </c>
      <c r="C50" s="1403" t="s">
        <v>799</v>
      </c>
      <c r="D50" s="1354"/>
      <c r="E50" s="1576">
        <v>250000</v>
      </c>
      <c r="F50" s="1576"/>
      <c r="G50" s="1576">
        <v>250000</v>
      </c>
      <c r="H50" s="1577"/>
    </row>
    <row r="51" spans="1:8" x14ac:dyDescent="0.2">
      <c r="A51" s="1405" t="s">
        <v>160</v>
      </c>
      <c r="B51" s="1402" t="s">
        <v>544</v>
      </c>
      <c r="C51" s="1403" t="s">
        <v>750</v>
      </c>
      <c r="D51" s="1354">
        <f>2894800+781596</f>
        <v>3676396</v>
      </c>
      <c r="E51" s="1576">
        <v>3676396</v>
      </c>
      <c r="F51" s="1576"/>
      <c r="G51" s="1576">
        <v>653796</v>
      </c>
      <c r="H51" s="1577"/>
    </row>
    <row r="52" spans="1:8" x14ac:dyDescent="0.2">
      <c r="A52" s="1405" t="s">
        <v>161</v>
      </c>
      <c r="B52" s="1402" t="s">
        <v>544</v>
      </c>
      <c r="C52" s="1403" t="s">
        <v>751</v>
      </c>
      <c r="D52" s="1354">
        <v>508000</v>
      </c>
      <c r="E52" s="1576">
        <v>508000</v>
      </c>
      <c r="F52" s="1576"/>
      <c r="G52" s="1576"/>
      <c r="H52" s="1577"/>
    </row>
    <row r="53" spans="1:8" x14ac:dyDescent="0.2">
      <c r="A53" s="1405" t="s">
        <v>167</v>
      </c>
      <c r="B53" s="1402" t="s">
        <v>800</v>
      </c>
      <c r="C53" s="1403" t="s">
        <v>801</v>
      </c>
      <c r="D53" s="1354"/>
      <c r="E53" s="1576"/>
      <c r="F53" s="1576"/>
      <c r="G53" s="1576">
        <v>758170</v>
      </c>
      <c r="H53" s="1577"/>
    </row>
    <row r="54" spans="1:8" x14ac:dyDescent="0.2">
      <c r="A54" s="1405" t="s">
        <v>168</v>
      </c>
      <c r="B54" s="1402" t="s">
        <v>802</v>
      </c>
      <c r="C54" s="1403" t="s">
        <v>752</v>
      </c>
      <c r="D54" s="1354">
        <v>25400</v>
      </c>
      <c r="E54" s="1576">
        <v>25400</v>
      </c>
      <c r="F54" s="1576"/>
      <c r="G54" s="1576">
        <v>24960</v>
      </c>
      <c r="H54" s="1577"/>
    </row>
    <row r="55" spans="1:8" x14ac:dyDescent="0.2">
      <c r="A55" s="1405" t="s">
        <v>169</v>
      </c>
      <c r="B55" s="1402" t="s">
        <v>803</v>
      </c>
      <c r="C55" s="1403" t="s">
        <v>804</v>
      </c>
      <c r="D55" s="1354"/>
      <c r="E55" s="1576">
        <v>29290</v>
      </c>
      <c r="F55" s="1576"/>
      <c r="G55" s="1576">
        <v>29290</v>
      </c>
      <c r="H55" s="1577"/>
    </row>
    <row r="56" spans="1:8" x14ac:dyDescent="0.2">
      <c r="A56" s="1405" t="s">
        <v>170</v>
      </c>
      <c r="B56" s="1402" t="s">
        <v>805</v>
      </c>
      <c r="C56" s="1403" t="s">
        <v>806</v>
      </c>
      <c r="D56" s="1354"/>
      <c r="E56" s="1576">
        <v>682319</v>
      </c>
      <c r="F56" s="1576"/>
      <c r="G56" s="1576"/>
      <c r="H56" s="1577"/>
    </row>
    <row r="57" spans="1:8" ht="13.5" thickBot="1" x14ac:dyDescent="0.25">
      <c r="A57" s="1410" t="s">
        <v>171</v>
      </c>
      <c r="B57" s="1411" t="s">
        <v>787</v>
      </c>
      <c r="C57" s="1412" t="s">
        <v>788</v>
      </c>
      <c r="D57" s="1486"/>
      <c r="E57" s="1578">
        <v>1391687</v>
      </c>
      <c r="F57" s="1578"/>
      <c r="G57" s="1578"/>
      <c r="H57" s="1579"/>
    </row>
    <row r="58" spans="1:8" ht="13.5" thickBot="1" x14ac:dyDescent="0.25">
      <c r="A58" s="1580" t="s">
        <v>11</v>
      </c>
      <c r="B58" s="1581"/>
      <c r="C58" s="1581"/>
      <c r="D58" s="1487">
        <f>SUM(D23:D57)</f>
        <v>2522090389</v>
      </c>
      <c r="E58" s="1582">
        <f>SUM(E23:F57)</f>
        <v>1707675394</v>
      </c>
      <c r="F58" s="1582"/>
      <c r="G58" s="1582">
        <f>SUM(G23:H57)</f>
        <v>843418159</v>
      </c>
      <c r="H58" s="1583"/>
    </row>
    <row r="59" spans="1:8" x14ac:dyDescent="0.2">
      <c r="D59" s="32"/>
    </row>
    <row r="60" spans="1:8" x14ac:dyDescent="0.2">
      <c r="D60" s="1401"/>
    </row>
    <row r="61" spans="1:8" x14ac:dyDescent="0.2">
      <c r="D61" s="31"/>
    </row>
  </sheetData>
  <mergeCells count="108">
    <mergeCell ref="A4:H4"/>
    <mergeCell ref="G5:H5"/>
    <mergeCell ref="A6:A7"/>
    <mergeCell ref="B6:B7"/>
    <mergeCell ref="C6:C7"/>
    <mergeCell ref="D6:H6"/>
    <mergeCell ref="E7:F7"/>
    <mergeCell ref="G7:H7"/>
    <mergeCell ref="E11:F11"/>
    <mergeCell ref="G11:H11"/>
    <mergeCell ref="E12:F12"/>
    <mergeCell ref="G12:H12"/>
    <mergeCell ref="E13:F13"/>
    <mergeCell ref="G13:H13"/>
    <mergeCell ref="E8:F8"/>
    <mergeCell ref="G8:H8"/>
    <mergeCell ref="E9:F9"/>
    <mergeCell ref="G9:H9"/>
    <mergeCell ref="E10:F10"/>
    <mergeCell ref="G10:H10"/>
    <mergeCell ref="A19:H19"/>
    <mergeCell ref="G20:H20"/>
    <mergeCell ref="A21:A22"/>
    <mergeCell ref="B21:B22"/>
    <mergeCell ref="C21:C22"/>
    <mergeCell ref="D21:H21"/>
    <mergeCell ref="E22:F22"/>
    <mergeCell ref="G22:H22"/>
    <mergeCell ref="E14:F14"/>
    <mergeCell ref="G14:H14"/>
    <mergeCell ref="E15:F15"/>
    <mergeCell ref="G15:H15"/>
    <mergeCell ref="A16:C16"/>
    <mergeCell ref="E16:F16"/>
    <mergeCell ref="G16:H16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38:F38"/>
    <mergeCell ref="G38:H38"/>
    <mergeCell ref="E39:F39"/>
    <mergeCell ref="G39:H39"/>
    <mergeCell ref="E40:F40"/>
    <mergeCell ref="G40:H40"/>
    <mergeCell ref="E35:F35"/>
    <mergeCell ref="G35:H35"/>
    <mergeCell ref="E36:F36"/>
    <mergeCell ref="G36:H36"/>
    <mergeCell ref="E37:F37"/>
    <mergeCell ref="G37:H37"/>
    <mergeCell ref="E44:F44"/>
    <mergeCell ref="G44:H44"/>
    <mergeCell ref="E45:F45"/>
    <mergeCell ref="G45:H45"/>
    <mergeCell ref="E46:F46"/>
    <mergeCell ref="G46:H46"/>
    <mergeCell ref="E41:F41"/>
    <mergeCell ref="G41:H41"/>
    <mergeCell ref="E42:F42"/>
    <mergeCell ref="G42:H42"/>
    <mergeCell ref="E43:F43"/>
    <mergeCell ref="G43:H43"/>
    <mergeCell ref="E50:F50"/>
    <mergeCell ref="G50:H50"/>
    <mergeCell ref="E51:F51"/>
    <mergeCell ref="G51:H51"/>
    <mergeCell ref="E52:F52"/>
    <mergeCell ref="G52:H52"/>
    <mergeCell ref="E47:F47"/>
    <mergeCell ref="G47:H47"/>
    <mergeCell ref="E48:F48"/>
    <mergeCell ref="G48:H48"/>
    <mergeCell ref="E49:F49"/>
    <mergeCell ref="G49:H49"/>
    <mergeCell ref="E56:F56"/>
    <mergeCell ref="G56:H56"/>
    <mergeCell ref="E57:F57"/>
    <mergeCell ref="G57:H57"/>
    <mergeCell ref="A58:C58"/>
    <mergeCell ref="E58:F58"/>
    <mergeCell ref="G58:H58"/>
    <mergeCell ref="E53:F53"/>
    <mergeCell ref="G53:H53"/>
    <mergeCell ref="E54:F54"/>
    <mergeCell ref="G54:H54"/>
    <mergeCell ref="E55:F55"/>
    <mergeCell ref="G55:H5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 xml:space="preserve">&amp;R5. sz. melléklet
.../2020. (...) Egyek Önk.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33" zoomScale="120" zoomScaleNormal="120" zoomScaleSheetLayoutView="80" workbookViewId="0">
      <selection activeCell="F63" sqref="F63"/>
    </sheetView>
  </sheetViews>
  <sheetFormatPr defaultRowHeight="12.75" x14ac:dyDescent="0.2"/>
  <cols>
    <col min="1" max="1" width="8.7109375" customWidth="1"/>
    <col min="2" max="2" width="75.42578125" style="24" customWidth="1"/>
    <col min="3" max="3" width="21" style="1061" customWidth="1"/>
    <col min="4" max="4" width="22" style="575" customWidth="1"/>
    <col min="5" max="5" width="21.28515625" style="1062" customWidth="1"/>
    <col min="6" max="6" width="19.85546875" style="24" customWidth="1"/>
    <col min="7" max="7" width="19.28515625" style="24" customWidth="1"/>
    <col min="8" max="8" width="16.85546875" bestFit="1" customWidth="1"/>
    <col min="9" max="9" width="17.28515625" style="224" customWidth="1"/>
  </cols>
  <sheetData>
    <row r="1" spans="1:9" ht="15.75" x14ac:dyDescent="0.25">
      <c r="A1" s="1613" t="s">
        <v>43</v>
      </c>
      <c r="B1" s="1614"/>
      <c r="C1" s="1614"/>
      <c r="D1" s="1614"/>
      <c r="E1" s="1614"/>
      <c r="F1" s="1614"/>
      <c r="G1" s="1614"/>
      <c r="H1" s="21"/>
    </row>
    <row r="2" spans="1:9" ht="15" x14ac:dyDescent="0.25">
      <c r="A2" s="1268"/>
      <c r="B2" s="743"/>
      <c r="C2" s="744"/>
      <c r="D2" s="743"/>
      <c r="E2" s="743"/>
      <c r="F2" s="743"/>
      <c r="G2" s="743"/>
      <c r="H2" s="21"/>
    </row>
    <row r="3" spans="1:9" ht="15" x14ac:dyDescent="0.25">
      <c r="A3" s="1268"/>
      <c r="B3" s="743"/>
      <c r="C3" s="1393" t="s">
        <v>723</v>
      </c>
      <c r="D3" s="743"/>
      <c r="E3" s="743"/>
      <c r="F3" s="743"/>
      <c r="G3" s="743"/>
      <c r="H3" s="21"/>
    </row>
    <row r="4" spans="1:9" ht="13.5" customHeight="1" thickBot="1" x14ac:dyDescent="0.25">
      <c r="A4" s="1615"/>
      <c r="B4" s="1615"/>
      <c r="C4" s="1615"/>
      <c r="D4" s="1615"/>
      <c r="E4" s="1615"/>
      <c r="F4" s="1615"/>
      <c r="G4" s="1615"/>
      <c r="H4" s="21"/>
    </row>
    <row r="5" spans="1:9" ht="13.5" customHeight="1" x14ac:dyDescent="0.2">
      <c r="A5" s="1604" t="s">
        <v>21</v>
      </c>
      <c r="B5" s="1606" t="s">
        <v>22</v>
      </c>
      <c r="C5" s="1608" t="s">
        <v>725</v>
      </c>
      <c r="D5" s="1616" t="s">
        <v>726</v>
      </c>
      <c r="E5" s="1616"/>
      <c r="F5" s="1616"/>
      <c r="G5" s="1611" t="s">
        <v>150</v>
      </c>
      <c r="H5" s="21"/>
    </row>
    <row r="6" spans="1:9" ht="15.75" thickBot="1" x14ac:dyDescent="0.25">
      <c r="A6" s="1605"/>
      <c r="B6" s="1607"/>
      <c r="C6" s="1609"/>
      <c r="D6" s="1269" t="s">
        <v>155</v>
      </c>
      <c r="E6" s="1005" t="s">
        <v>157</v>
      </c>
      <c r="F6" s="1269" t="s">
        <v>149</v>
      </c>
      <c r="G6" s="1612"/>
      <c r="H6" s="21"/>
    </row>
    <row r="7" spans="1:9" ht="15.75" thickBot="1" x14ac:dyDescent="0.25">
      <c r="A7" s="919">
        <v>1</v>
      </c>
      <c r="B7" s="920">
        <v>2</v>
      </c>
      <c r="C7" s="921">
        <v>3</v>
      </c>
      <c r="D7" s="922">
        <v>4</v>
      </c>
      <c r="E7" s="1006">
        <v>5</v>
      </c>
      <c r="F7" s="918">
        <v>6</v>
      </c>
      <c r="G7" s="918">
        <v>7</v>
      </c>
      <c r="H7" s="21"/>
    </row>
    <row r="8" spans="1:9" ht="15.75" thickBot="1" x14ac:dyDescent="0.25">
      <c r="A8" s="745" t="s">
        <v>0</v>
      </c>
      <c r="B8" s="745" t="s">
        <v>53</v>
      </c>
      <c r="C8" s="1007">
        <f>C9+C16</f>
        <v>737642662</v>
      </c>
      <c r="D8" s="1008">
        <f>D9+D16+D15</f>
        <v>347079172</v>
      </c>
      <c r="E8" s="1008">
        <f>E9+E16</f>
        <v>718193279</v>
      </c>
      <c r="F8" s="1008">
        <f>F9+F16</f>
        <v>720903728</v>
      </c>
      <c r="G8" s="1008">
        <f t="shared" ref="G8:G38" si="0">F8/E8*100</f>
        <v>100.37739826857946</v>
      </c>
      <c r="H8" s="21"/>
    </row>
    <row r="9" spans="1:9" s="26" customFormat="1" ht="15.75" thickBot="1" x14ac:dyDescent="0.25">
      <c r="A9" s="745" t="s">
        <v>4</v>
      </c>
      <c r="B9" s="747" t="s">
        <v>57</v>
      </c>
      <c r="C9" s="1009">
        <f>C10+C11+C12+C13+C14</f>
        <v>287237387</v>
      </c>
      <c r="D9" s="1009">
        <f>D10+D11+D12+D13</f>
        <v>345836772</v>
      </c>
      <c r="E9" s="1009">
        <f>E10+E11+E12+E13+E14</f>
        <v>283375228</v>
      </c>
      <c r="F9" s="1009">
        <f>F10+F11+F12+F13+F14</f>
        <v>283375228</v>
      </c>
      <c r="G9" s="1394">
        <f t="shared" si="0"/>
        <v>100</v>
      </c>
      <c r="H9" s="746"/>
      <c r="I9" s="1415"/>
    </row>
    <row r="10" spans="1:9" ht="15.75" thickBot="1" x14ac:dyDescent="0.25">
      <c r="A10" s="745" t="s">
        <v>8</v>
      </c>
      <c r="B10" s="748" t="s">
        <v>121</v>
      </c>
      <c r="C10" s="1011">
        <v>177236427</v>
      </c>
      <c r="D10" s="1010">
        <v>176532264</v>
      </c>
      <c r="E10" s="1010">
        <v>179789816</v>
      </c>
      <c r="F10" s="1011">
        <v>179789816</v>
      </c>
      <c r="G10" s="1394">
        <f t="shared" si="0"/>
        <v>100</v>
      </c>
      <c r="H10" s="21"/>
    </row>
    <row r="11" spans="1:9" ht="15.75" thickBot="1" x14ac:dyDescent="0.25">
      <c r="A11" s="745" t="s">
        <v>2</v>
      </c>
      <c r="B11" s="749" t="s">
        <v>122</v>
      </c>
      <c r="C11" s="1014">
        <v>91948773</v>
      </c>
      <c r="D11" s="1012">
        <v>70212165</v>
      </c>
      <c r="E11" s="1012">
        <v>70536434</v>
      </c>
      <c r="F11" s="1014">
        <v>70536434</v>
      </c>
      <c r="G11" s="1394">
        <f t="shared" si="0"/>
        <v>100</v>
      </c>
      <c r="H11" s="21"/>
    </row>
    <row r="12" spans="1:9" ht="15.75" thickBot="1" x14ac:dyDescent="0.25">
      <c r="A12" s="745" t="s">
        <v>5</v>
      </c>
      <c r="B12" s="749" t="s">
        <v>123</v>
      </c>
      <c r="C12" s="1014">
        <v>7230155</v>
      </c>
      <c r="D12" s="1012">
        <v>6520690</v>
      </c>
      <c r="E12" s="1012">
        <v>7275694</v>
      </c>
      <c r="F12" s="1014">
        <v>7275694</v>
      </c>
      <c r="G12" s="1394">
        <f t="shared" si="0"/>
        <v>100</v>
      </c>
      <c r="H12" s="21"/>
    </row>
    <row r="13" spans="1:9" ht="31.5" customHeight="1" thickBot="1" x14ac:dyDescent="0.25">
      <c r="A13" s="745" t="s">
        <v>9</v>
      </c>
      <c r="B13" s="749" t="s">
        <v>470</v>
      </c>
      <c r="C13" s="1014">
        <v>10822032</v>
      </c>
      <c r="D13" s="1012">
        <v>92571653</v>
      </c>
      <c r="E13" s="1012">
        <v>25773284</v>
      </c>
      <c r="F13" s="1014">
        <v>25773284</v>
      </c>
      <c r="G13" s="1394">
        <f t="shared" si="0"/>
        <v>100</v>
      </c>
      <c r="H13" s="21"/>
    </row>
    <row r="14" spans="1:9" ht="15.75" thickBot="1" x14ac:dyDescent="0.25">
      <c r="A14" s="745"/>
      <c r="B14" s="749" t="s">
        <v>549</v>
      </c>
      <c r="C14" s="1014"/>
      <c r="D14" s="1012"/>
      <c r="E14" s="1012"/>
      <c r="F14" s="1014"/>
      <c r="G14" s="1394"/>
      <c r="H14" s="21"/>
    </row>
    <row r="15" spans="1:9" ht="29.25" thickBot="1" x14ac:dyDescent="0.25">
      <c r="A15" s="745"/>
      <c r="B15" s="749" t="s">
        <v>550</v>
      </c>
      <c r="C15" s="1014"/>
      <c r="D15" s="1012"/>
      <c r="E15" s="1012"/>
      <c r="F15" s="1014"/>
      <c r="G15" s="1394"/>
      <c r="H15" s="21"/>
    </row>
    <row r="16" spans="1:9" s="26" customFormat="1" ht="15.75" thickBot="1" x14ac:dyDescent="0.25">
      <c r="A16" s="745" t="s">
        <v>10</v>
      </c>
      <c r="B16" s="750" t="s">
        <v>124</v>
      </c>
      <c r="C16" s="1017">
        <v>450405275</v>
      </c>
      <c r="D16" s="1015">
        <v>1242400</v>
      </c>
      <c r="E16" s="1016">
        <v>434818051</v>
      </c>
      <c r="F16" s="1017">
        <v>437528500</v>
      </c>
      <c r="G16" s="1394">
        <f t="shared" si="0"/>
        <v>100.62335245599084</v>
      </c>
      <c r="H16" s="746"/>
      <c r="I16" s="1415"/>
    </row>
    <row r="17" spans="1:9" ht="15.75" thickBot="1" x14ac:dyDescent="0.25">
      <c r="A17" s="745" t="s">
        <v>6</v>
      </c>
      <c r="B17" s="751" t="s">
        <v>58</v>
      </c>
      <c r="C17" s="1018">
        <f>C18+C19</f>
        <v>1005277376</v>
      </c>
      <c r="D17" s="1018">
        <f>D18+D19</f>
        <v>2267638006</v>
      </c>
      <c r="E17" s="1018">
        <f>E18+E19</f>
        <v>2095818309</v>
      </c>
      <c r="F17" s="1019">
        <f>F18+F19</f>
        <v>671697561</v>
      </c>
      <c r="G17" s="1008">
        <f t="shared" si="0"/>
        <v>32.049417552826618</v>
      </c>
      <c r="H17" s="21"/>
    </row>
    <row r="18" spans="1:9" ht="15.75" thickBot="1" x14ac:dyDescent="0.25">
      <c r="A18" s="745" t="s">
        <v>1</v>
      </c>
      <c r="B18" s="752" t="s">
        <v>125</v>
      </c>
      <c r="C18" s="1014">
        <v>39256370</v>
      </c>
      <c r="D18" s="1013"/>
      <c r="E18" s="1013">
        <v>16999999</v>
      </c>
      <c r="F18" s="1014">
        <v>16999999</v>
      </c>
      <c r="G18" s="1394">
        <f t="shared" si="0"/>
        <v>100</v>
      </c>
      <c r="H18" s="21"/>
    </row>
    <row r="19" spans="1:9" ht="29.25" thickBot="1" x14ac:dyDescent="0.25">
      <c r="A19" s="745" t="s">
        <v>7</v>
      </c>
      <c r="B19" s="752" t="s">
        <v>126</v>
      </c>
      <c r="C19" s="1014">
        <v>966021006</v>
      </c>
      <c r="D19" s="1020">
        <v>2267638006</v>
      </c>
      <c r="E19" s="1013">
        <v>2078818310</v>
      </c>
      <c r="F19" s="1014">
        <v>654697562</v>
      </c>
      <c r="G19" s="1394">
        <f t="shared" si="0"/>
        <v>31.493736554590956</v>
      </c>
      <c r="H19" s="21"/>
    </row>
    <row r="20" spans="1:9" ht="15.75" thickBot="1" x14ac:dyDescent="0.25">
      <c r="A20" s="745" t="s">
        <v>15</v>
      </c>
      <c r="B20" s="753" t="s">
        <v>71</v>
      </c>
      <c r="C20" s="1021">
        <f>C22+C23+C27+C21</f>
        <v>79516774</v>
      </c>
      <c r="D20" s="1021">
        <f t="shared" ref="D20:F20" si="1">D22+D23+D27+D21</f>
        <v>79608000</v>
      </c>
      <c r="E20" s="1021">
        <f t="shared" si="1"/>
        <v>79608000</v>
      </c>
      <c r="F20" s="1021">
        <f t="shared" si="1"/>
        <v>98637447</v>
      </c>
      <c r="G20" s="1008">
        <f t="shared" si="0"/>
        <v>123.9039380464275</v>
      </c>
      <c r="H20" s="21"/>
    </row>
    <row r="21" spans="1:9" ht="15.75" thickBot="1" x14ac:dyDescent="0.25">
      <c r="A21" s="745"/>
      <c r="B21" s="1023" t="s">
        <v>551</v>
      </c>
      <c r="C21" s="1021">
        <v>0</v>
      </c>
      <c r="D21" s="1021">
        <v>0</v>
      </c>
      <c r="E21" s="1021">
        <v>0</v>
      </c>
      <c r="F21" s="1024"/>
      <c r="G21" s="1008"/>
      <c r="H21" s="21"/>
    </row>
    <row r="22" spans="1:9" ht="15.75" thickBot="1" x14ac:dyDescent="0.25">
      <c r="A22" s="745" t="s">
        <v>13</v>
      </c>
      <c r="B22" s="754" t="s">
        <v>46</v>
      </c>
      <c r="C22" s="1025">
        <v>13129435</v>
      </c>
      <c r="D22" s="1025">
        <v>13130000</v>
      </c>
      <c r="E22" s="1025">
        <v>13130000</v>
      </c>
      <c r="F22" s="1025">
        <v>12562748</v>
      </c>
      <c r="G22" s="1394">
        <f t="shared" si="0"/>
        <v>95.679725818735719</v>
      </c>
      <c r="H22" s="21"/>
    </row>
    <row r="23" spans="1:9" s="26" customFormat="1" ht="15" thickBot="1" x14ac:dyDescent="0.25">
      <c r="A23" s="755" t="s">
        <v>25</v>
      </c>
      <c r="B23" s="756" t="s">
        <v>127</v>
      </c>
      <c r="C23" s="1026">
        <f>C24+C25+C26</f>
        <v>60902363</v>
      </c>
      <c r="D23" s="1026">
        <v>60990000</v>
      </c>
      <c r="E23" s="1026">
        <v>60990000</v>
      </c>
      <c r="F23" s="1026">
        <v>78990549</v>
      </c>
      <c r="G23" s="1395">
        <f t="shared" si="0"/>
        <v>129.51393507132315</v>
      </c>
      <c r="H23" s="746"/>
      <c r="I23" s="1415"/>
    </row>
    <row r="24" spans="1:9" ht="15.75" thickBot="1" x14ac:dyDescent="0.25">
      <c r="A24" s="745" t="s">
        <v>28</v>
      </c>
      <c r="B24" s="752" t="s">
        <v>128</v>
      </c>
      <c r="C24" s="1014">
        <v>51918474</v>
      </c>
      <c r="D24" s="1012">
        <v>52000000</v>
      </c>
      <c r="E24" s="1013">
        <v>52000000</v>
      </c>
      <c r="F24" s="1014">
        <v>69403671</v>
      </c>
      <c r="G24" s="1394">
        <f t="shared" si="0"/>
        <v>133.46859807692309</v>
      </c>
      <c r="H24" s="21"/>
    </row>
    <row r="25" spans="1:9" ht="15.75" thickBot="1" x14ac:dyDescent="0.25">
      <c r="A25" s="745" t="s">
        <v>26</v>
      </c>
      <c r="B25" s="752" t="s">
        <v>129</v>
      </c>
      <c r="C25" s="1014">
        <v>8983889</v>
      </c>
      <c r="D25" s="1012">
        <v>8990000</v>
      </c>
      <c r="E25" s="1013">
        <v>8990000</v>
      </c>
      <c r="F25" s="1014">
        <v>9586878</v>
      </c>
      <c r="G25" s="1394">
        <f t="shared" si="0"/>
        <v>106.63935483870968</v>
      </c>
      <c r="H25" s="21"/>
    </row>
    <row r="26" spans="1:9" ht="15.75" thickBot="1" x14ac:dyDescent="0.25">
      <c r="A26" s="745" t="s">
        <v>27</v>
      </c>
      <c r="B26" s="752" t="s">
        <v>50</v>
      </c>
      <c r="C26" s="1014"/>
      <c r="D26" s="1012"/>
      <c r="E26" s="1013"/>
      <c r="F26" s="1014"/>
      <c r="G26" s="1394"/>
      <c r="H26" s="21"/>
    </row>
    <row r="27" spans="1:9" s="26" customFormat="1" ht="15" thickBot="1" x14ac:dyDescent="0.25">
      <c r="A27" s="755" t="s">
        <v>29</v>
      </c>
      <c r="B27" s="757" t="s">
        <v>130</v>
      </c>
      <c r="C27" s="1017">
        <v>5484976</v>
      </c>
      <c r="D27" s="1015">
        <v>5488000</v>
      </c>
      <c r="E27" s="1016">
        <v>5488000</v>
      </c>
      <c r="F27" s="1017">
        <v>7084150</v>
      </c>
      <c r="G27" s="1395">
        <f t="shared" si="0"/>
        <v>129.08436588921285</v>
      </c>
      <c r="H27" s="746"/>
      <c r="I27" s="1415"/>
    </row>
    <row r="28" spans="1:9" ht="15.75" thickBot="1" x14ac:dyDescent="0.25">
      <c r="A28" s="745" t="s">
        <v>30</v>
      </c>
      <c r="B28" s="753" t="s">
        <v>131</v>
      </c>
      <c r="C28" s="1022">
        <v>73301432</v>
      </c>
      <c r="D28" s="1021">
        <v>66431738</v>
      </c>
      <c r="E28" s="1021">
        <v>106045998</v>
      </c>
      <c r="F28" s="1022">
        <v>94988611</v>
      </c>
      <c r="G28" s="1008">
        <f t="shared" si="0"/>
        <v>89.573027546027717</v>
      </c>
      <c r="H28" s="21"/>
    </row>
    <row r="29" spans="1:9" s="25" customFormat="1" ht="15.75" thickBot="1" x14ac:dyDescent="0.3">
      <c r="A29" s="745" t="s">
        <v>31</v>
      </c>
      <c r="B29" s="759" t="s">
        <v>72</v>
      </c>
      <c r="C29" s="1029">
        <v>3046456</v>
      </c>
      <c r="D29" s="1027">
        <v>25679000</v>
      </c>
      <c r="E29" s="1028">
        <v>26688031</v>
      </c>
      <c r="F29" s="1029">
        <v>53524882</v>
      </c>
      <c r="G29" s="1008">
        <f t="shared" si="0"/>
        <v>200.5576282491578</v>
      </c>
      <c r="H29" s="758"/>
      <c r="I29" s="823"/>
    </row>
    <row r="30" spans="1:9" s="25" customFormat="1" ht="15.75" thickBot="1" x14ac:dyDescent="0.3">
      <c r="A30" s="745" t="s">
        <v>12</v>
      </c>
      <c r="B30" s="760" t="s">
        <v>69</v>
      </c>
      <c r="C30" s="1032">
        <v>14032101</v>
      </c>
      <c r="D30" s="1030">
        <v>10999199</v>
      </c>
      <c r="E30" s="1031">
        <v>16493197</v>
      </c>
      <c r="F30" s="1032">
        <v>13653774</v>
      </c>
      <c r="G30" s="1008">
        <f t="shared" si="0"/>
        <v>82.784277663087394</v>
      </c>
      <c r="H30" s="758"/>
      <c r="I30" s="823"/>
    </row>
    <row r="31" spans="1:9" s="25" customFormat="1" ht="15.75" thickBot="1" x14ac:dyDescent="0.3">
      <c r="A31" s="745" t="s">
        <v>32</v>
      </c>
      <c r="B31" s="761" t="s">
        <v>60</v>
      </c>
      <c r="C31" s="1033">
        <f t="shared" ref="C31" si="2">SUM(C32:C33)</f>
        <v>0</v>
      </c>
      <c r="D31" s="1033"/>
      <c r="E31" s="1033"/>
      <c r="F31" s="1033"/>
      <c r="G31" s="1008"/>
      <c r="H31" s="758"/>
      <c r="I31" s="823"/>
    </row>
    <row r="32" spans="1:9" s="84" customFormat="1" ht="29.25" thickBot="1" x14ac:dyDescent="0.25">
      <c r="A32" s="745" t="s">
        <v>33</v>
      </c>
      <c r="B32" s="762" t="s">
        <v>466</v>
      </c>
      <c r="C32" s="1034"/>
      <c r="D32" s="1035"/>
      <c r="E32" s="1035"/>
      <c r="F32" s="1036"/>
      <c r="G32" s="1008"/>
      <c r="H32" s="21"/>
      <c r="I32" s="224"/>
    </row>
    <row r="33" spans="1:9" s="84" customFormat="1" ht="15.75" thickBot="1" x14ac:dyDescent="0.25">
      <c r="A33" s="745" t="s">
        <v>34</v>
      </c>
      <c r="B33" s="762" t="s">
        <v>471</v>
      </c>
      <c r="C33" s="1035">
        <v>0</v>
      </c>
      <c r="D33" s="1035"/>
      <c r="E33" s="1035"/>
      <c r="F33" s="1037"/>
      <c r="G33" s="1008"/>
      <c r="H33" s="21"/>
      <c r="I33" s="224"/>
    </row>
    <row r="34" spans="1:9" ht="15.75" thickBot="1" x14ac:dyDescent="0.3">
      <c r="A34" s="1601" t="s">
        <v>44</v>
      </c>
      <c r="B34" s="1602"/>
      <c r="C34" s="1038">
        <f>C8+C17+C20+C28+C29+C30+C31</f>
        <v>1912816801</v>
      </c>
      <c r="D34" s="1038">
        <f>D8+D17+D20+D28+D29+D30+D31</f>
        <v>2797435115</v>
      </c>
      <c r="E34" s="1038">
        <f>E8+E17+E20+E28+E29+E30+E31</f>
        <v>3042846814</v>
      </c>
      <c r="F34" s="1039">
        <f>F8+F17+F20+F28+F29+F30+F31</f>
        <v>1653406003</v>
      </c>
      <c r="G34" s="1008">
        <f t="shared" si="0"/>
        <v>54.33747092994475</v>
      </c>
      <c r="H34" s="21"/>
    </row>
    <row r="35" spans="1:9" ht="15.75" thickBot="1" x14ac:dyDescent="0.25">
      <c r="A35" s="763" t="s">
        <v>37</v>
      </c>
      <c r="B35" s="753" t="s">
        <v>67</v>
      </c>
      <c r="C35" s="1040">
        <f>C36+C37+C38</f>
        <v>181187472</v>
      </c>
      <c r="D35" s="1040">
        <f>D36+D37+D38</f>
        <v>305187660</v>
      </c>
      <c r="E35" s="1040">
        <f>E36+E37+E38</f>
        <v>369295171</v>
      </c>
      <c r="F35" s="1040">
        <f>F36+F37+F38</f>
        <v>1164285911</v>
      </c>
      <c r="G35" s="1008">
        <f t="shared" si="0"/>
        <v>315.27244394972064</v>
      </c>
      <c r="H35" s="21"/>
    </row>
    <row r="36" spans="1:9" ht="15.75" thickBot="1" x14ac:dyDescent="0.25">
      <c r="A36" s="763" t="s">
        <v>38</v>
      </c>
      <c r="B36" s="764" t="s">
        <v>132</v>
      </c>
      <c r="C36" s="1042"/>
      <c r="D36" s="1041">
        <v>98439274</v>
      </c>
      <c r="E36" s="1035">
        <v>98439274</v>
      </c>
      <c r="F36" s="1042">
        <v>48633958</v>
      </c>
      <c r="G36" s="1008">
        <f t="shared" si="0"/>
        <v>49.405035230146048</v>
      </c>
      <c r="H36" s="21"/>
    </row>
    <row r="37" spans="1:9" ht="15.75" thickBot="1" x14ac:dyDescent="0.25">
      <c r="A37" s="763" t="s">
        <v>39</v>
      </c>
      <c r="B37" s="764" t="s">
        <v>63</v>
      </c>
      <c r="C37" s="1042">
        <v>162501555</v>
      </c>
      <c r="D37" s="1041">
        <v>196619780</v>
      </c>
      <c r="E37" s="1035">
        <v>207784578</v>
      </c>
      <c r="F37" s="1042">
        <v>1052482102</v>
      </c>
      <c r="G37" s="1396">
        <f t="shared" si="0"/>
        <v>506.52561038480928</v>
      </c>
      <c r="H37" s="1043"/>
    </row>
    <row r="38" spans="1:9" ht="15.75" thickBot="1" x14ac:dyDescent="0.25">
      <c r="A38" s="765" t="s">
        <v>159</v>
      </c>
      <c r="B38" s="1044" t="s">
        <v>448</v>
      </c>
      <c r="C38" s="1042">
        <v>18685917</v>
      </c>
      <c r="D38" s="1041">
        <v>10128606</v>
      </c>
      <c r="E38" s="766">
        <v>63071319</v>
      </c>
      <c r="F38" s="1042">
        <v>63169851</v>
      </c>
      <c r="G38" s="1396">
        <f t="shared" si="0"/>
        <v>100.15622314795732</v>
      </c>
      <c r="H38" s="21"/>
    </row>
    <row r="39" spans="1:9" ht="14.25" x14ac:dyDescent="0.2">
      <c r="A39" s="767"/>
      <c r="B39" s="768"/>
      <c r="C39" s="769"/>
      <c r="D39" s="770"/>
      <c r="E39" s="770"/>
      <c r="F39" s="771"/>
      <c r="G39" s="771"/>
      <c r="H39" s="21"/>
    </row>
    <row r="40" spans="1:9" ht="15" x14ac:dyDescent="0.2">
      <c r="A40" s="1603" t="s">
        <v>724</v>
      </c>
      <c r="B40" s="1603"/>
      <c r="C40" s="1603"/>
      <c r="D40" s="1603"/>
      <c r="E40" s="1603"/>
      <c r="F40" s="1603"/>
      <c r="G40" s="1603"/>
      <c r="H40" s="21"/>
    </row>
    <row r="41" spans="1:9" ht="15.75" thickBot="1" x14ac:dyDescent="0.25">
      <c r="A41" s="912"/>
      <c r="B41" s="912"/>
      <c r="C41" s="913"/>
      <c r="D41" s="914"/>
      <c r="E41" s="1045"/>
      <c r="F41" s="771"/>
      <c r="G41" s="771"/>
      <c r="H41" s="21"/>
    </row>
    <row r="42" spans="1:9" ht="15" x14ac:dyDescent="0.2">
      <c r="A42" s="1604" t="s">
        <v>23</v>
      </c>
      <c r="B42" s="1606" t="s">
        <v>24</v>
      </c>
      <c r="C42" s="1608" t="s">
        <v>725</v>
      </c>
      <c r="D42" s="1610" t="s">
        <v>726</v>
      </c>
      <c r="E42" s="1610"/>
      <c r="F42" s="1610"/>
      <c r="G42" s="1611" t="s">
        <v>150</v>
      </c>
      <c r="H42" s="21"/>
    </row>
    <row r="43" spans="1:9" ht="15.75" thickBot="1" x14ac:dyDescent="0.25">
      <c r="A43" s="1605"/>
      <c r="B43" s="1607"/>
      <c r="C43" s="1609"/>
      <c r="D43" s="1269" t="s">
        <v>155</v>
      </c>
      <c r="E43" s="1005" t="s">
        <v>157</v>
      </c>
      <c r="F43" s="1269" t="s">
        <v>149</v>
      </c>
      <c r="G43" s="1612"/>
      <c r="H43" s="21"/>
    </row>
    <row r="44" spans="1:9" ht="15.75" thickBot="1" x14ac:dyDescent="0.25">
      <c r="A44" s="915">
        <v>1</v>
      </c>
      <c r="B44" s="916">
        <v>2</v>
      </c>
      <c r="C44" s="917" t="s">
        <v>451</v>
      </c>
      <c r="D44" s="915" t="s">
        <v>464</v>
      </c>
      <c r="E44" s="1046" t="s">
        <v>450</v>
      </c>
      <c r="F44" s="918" t="s">
        <v>452</v>
      </c>
      <c r="G44" s="918" t="s">
        <v>453</v>
      </c>
      <c r="H44" s="21"/>
    </row>
    <row r="45" spans="1:9" ht="15.75" thickBot="1" x14ac:dyDescent="0.25">
      <c r="A45" s="772" t="s">
        <v>0</v>
      </c>
      <c r="B45" s="773" t="s">
        <v>133</v>
      </c>
      <c r="C45" s="1008">
        <f>C46+C47</f>
        <v>502591633</v>
      </c>
      <c r="D45" s="1008">
        <f>D46+D47</f>
        <v>183897089</v>
      </c>
      <c r="E45" s="1047">
        <f>E46+E47</f>
        <v>544929649</v>
      </c>
      <c r="F45" s="1008">
        <f>F46+F47</f>
        <v>474384466</v>
      </c>
      <c r="G45" s="1008">
        <f>F45/E45*100</f>
        <v>87.054258631466013</v>
      </c>
      <c r="H45" s="21"/>
    </row>
    <row r="46" spans="1:9" ht="15.75" thickBot="1" x14ac:dyDescent="0.25">
      <c r="A46" s="772" t="s">
        <v>4</v>
      </c>
      <c r="B46" s="774" t="s">
        <v>111</v>
      </c>
      <c r="C46" s="1048">
        <v>452743464</v>
      </c>
      <c r="D46" s="1048">
        <f>'Működési kiadások3'!N8</f>
        <v>155632805</v>
      </c>
      <c r="E46" s="1048">
        <f>'Működési kiadások3'!O8</f>
        <v>508338597</v>
      </c>
      <c r="F46" s="1048">
        <f>'Működési kiadások3'!P8</f>
        <v>439378288</v>
      </c>
      <c r="G46" s="1008">
        <f t="shared" ref="G46:G63" si="3">F46/E46*100</f>
        <v>86.434178044520976</v>
      </c>
      <c r="H46" s="21"/>
    </row>
    <row r="47" spans="1:9" ht="15.75" thickBot="1" x14ac:dyDescent="0.25">
      <c r="A47" s="772" t="s">
        <v>8</v>
      </c>
      <c r="B47" s="775" t="s">
        <v>112</v>
      </c>
      <c r="C47" s="1049">
        <v>49848169</v>
      </c>
      <c r="D47" s="1049">
        <f>'Működési kiadások3'!N10</f>
        <v>28264284</v>
      </c>
      <c r="E47" s="1049">
        <f>'Működési kiadások3'!O10</f>
        <v>36591052</v>
      </c>
      <c r="F47" s="1049">
        <f>'Működési kiadások3'!P10</f>
        <v>35006178</v>
      </c>
      <c r="G47" s="1008">
        <f t="shared" si="3"/>
        <v>95.668684245536312</v>
      </c>
      <c r="H47" s="21"/>
    </row>
    <row r="48" spans="1:9" s="25" customFormat="1" ht="15.75" thickBot="1" x14ac:dyDescent="0.3">
      <c r="A48" s="776" t="s">
        <v>2</v>
      </c>
      <c r="B48" s="1270" t="s">
        <v>108</v>
      </c>
      <c r="C48" s="777">
        <v>69772086</v>
      </c>
      <c r="D48" s="1021">
        <f>'Működési kiadások3'!N12</f>
        <v>30958477</v>
      </c>
      <c r="E48" s="1021">
        <f>'Működési kiadások3'!O12</f>
        <v>66853152</v>
      </c>
      <c r="F48" s="1021">
        <f>'Működési kiadások3'!P12</f>
        <v>60898284</v>
      </c>
      <c r="G48" s="1008">
        <f t="shared" si="3"/>
        <v>91.092614451447247</v>
      </c>
      <c r="H48" s="758"/>
      <c r="I48" s="823"/>
    </row>
    <row r="49" spans="1:9" s="25" customFormat="1" ht="15.75" thickBot="1" x14ac:dyDescent="0.3">
      <c r="A49" s="778" t="s">
        <v>5</v>
      </c>
      <c r="B49" s="1270" t="s">
        <v>90</v>
      </c>
      <c r="C49" s="777">
        <v>182848442</v>
      </c>
      <c r="D49" s="1021">
        <f>'Működési kiadások3'!N13</f>
        <v>198629383</v>
      </c>
      <c r="E49" s="1021">
        <f>'Működési kiadások3'!O13</f>
        <v>848515148</v>
      </c>
      <c r="F49" s="1021">
        <f>'Működési kiadások3'!P13</f>
        <v>421955849</v>
      </c>
      <c r="G49" s="1008">
        <f t="shared" si="3"/>
        <v>49.728734954770658</v>
      </c>
      <c r="H49" s="758"/>
      <c r="I49" s="823"/>
    </row>
    <row r="50" spans="1:9" s="25" customFormat="1" ht="15.75" thickBot="1" x14ac:dyDescent="0.3">
      <c r="A50" s="772" t="s">
        <v>9</v>
      </c>
      <c r="B50" s="1270" t="s">
        <v>134</v>
      </c>
      <c r="C50" s="777">
        <v>17717099</v>
      </c>
      <c r="D50" s="1021">
        <f>'Működési kiadások3'!N14</f>
        <v>34963165</v>
      </c>
      <c r="E50" s="1021">
        <f>'Működési kiadások3'!O14</f>
        <v>10215165</v>
      </c>
      <c r="F50" s="1021">
        <f>'Működési kiadások3'!P14</f>
        <v>9507143</v>
      </c>
      <c r="G50" s="1008">
        <f t="shared" si="3"/>
        <v>93.068912739050219</v>
      </c>
      <c r="H50" s="758"/>
      <c r="I50" s="823"/>
    </row>
    <row r="51" spans="1:9" s="25" customFormat="1" ht="15.75" thickBot="1" x14ac:dyDescent="0.3">
      <c r="A51" s="776" t="s">
        <v>3</v>
      </c>
      <c r="B51" s="779" t="s">
        <v>141</v>
      </c>
      <c r="C51" s="1051">
        <v>103133455</v>
      </c>
      <c r="D51" s="1021">
        <f>'Működési kiadások3'!N15</f>
        <v>85411931</v>
      </c>
      <c r="E51" s="1021">
        <f>'Működési kiadások3'!O15</f>
        <v>109682614</v>
      </c>
      <c r="F51" s="1021">
        <f>'Működési kiadások3'!P15</f>
        <v>108934943</v>
      </c>
      <c r="G51" s="1008">
        <f t="shared" si="3"/>
        <v>99.318332256377474</v>
      </c>
      <c r="H51" s="758"/>
      <c r="I51" s="823"/>
    </row>
    <row r="52" spans="1:9" s="84" customFormat="1" ht="15.75" thickBot="1" x14ac:dyDescent="0.25">
      <c r="A52" s="776" t="s">
        <v>10</v>
      </c>
      <c r="B52" s="780" t="s">
        <v>96</v>
      </c>
      <c r="C52" s="1052">
        <f>SUM(C53:C54)</f>
        <v>0</v>
      </c>
      <c r="D52" s="1053">
        <f>SUM(D53:D54)</f>
        <v>12668247</v>
      </c>
      <c r="E52" s="1054">
        <f>SUM(E53:E54)</f>
        <v>4278285</v>
      </c>
      <c r="F52" s="1052">
        <f>SUM(F53:F54)</f>
        <v>0</v>
      </c>
      <c r="G52" s="1008"/>
      <c r="H52" s="21"/>
      <c r="I52" s="224"/>
    </row>
    <row r="53" spans="1:9" ht="15.75" thickBot="1" x14ac:dyDescent="0.25">
      <c r="A53" s="776" t="s">
        <v>6</v>
      </c>
      <c r="B53" s="781" t="s">
        <v>137</v>
      </c>
      <c r="C53" s="782"/>
      <c r="D53" s="1055">
        <f>'Működési kiadások3'!N36</f>
        <v>10000000</v>
      </c>
      <c r="E53" s="1055">
        <f>'Működési kiadások3'!O36</f>
        <v>2017288</v>
      </c>
      <c r="F53" s="1055">
        <f>'Működési kiadások3'!P36</f>
        <v>0</v>
      </c>
      <c r="G53" s="1008"/>
      <c r="H53" s="21"/>
    </row>
    <row r="54" spans="1:9" ht="15.75" thickBot="1" x14ac:dyDescent="0.25">
      <c r="A54" s="776" t="s">
        <v>1</v>
      </c>
      <c r="B54" s="783" t="s">
        <v>138</v>
      </c>
      <c r="C54" s="784"/>
      <c r="D54" s="1056">
        <f>Kiadások2!B24-'Mérleg 5.mell.'!D53</f>
        <v>2668247</v>
      </c>
      <c r="E54" s="1056">
        <f>Kiadások2!C24-'Mérleg 5.mell.'!E53</f>
        <v>2260997</v>
      </c>
      <c r="F54" s="1056">
        <f>Kiadások2!D24-'Mérleg 5.mell.'!F53</f>
        <v>0</v>
      </c>
      <c r="G54" s="1008"/>
      <c r="H54" s="21"/>
    </row>
    <row r="55" spans="1:9" s="25" customFormat="1" ht="15.75" thickBot="1" x14ac:dyDescent="0.3">
      <c r="A55" s="776" t="s">
        <v>7</v>
      </c>
      <c r="B55" s="785" t="s">
        <v>135</v>
      </c>
      <c r="C55" s="786">
        <v>78048881</v>
      </c>
      <c r="D55" s="1057">
        <f>Kiadások2!N18</f>
        <v>2522090389</v>
      </c>
      <c r="E55" s="1057">
        <f>Kiadások2!O18</f>
        <v>1707675394</v>
      </c>
      <c r="F55" s="1057">
        <f>Kiadások2!P18</f>
        <v>843418159</v>
      </c>
      <c r="G55" s="1008">
        <f t="shared" si="3"/>
        <v>49.389840830604605</v>
      </c>
      <c r="H55" s="758"/>
      <c r="I55" s="823"/>
    </row>
    <row r="56" spans="1:9" s="25" customFormat="1" ht="15.75" thickBot="1" x14ac:dyDescent="0.3">
      <c r="A56" s="776" t="s">
        <v>15</v>
      </c>
      <c r="B56" s="1270" t="s">
        <v>136</v>
      </c>
      <c r="C56" s="777">
        <v>58748918</v>
      </c>
      <c r="D56" s="1057">
        <f>Kiadások2!N19</f>
        <v>13426123</v>
      </c>
      <c r="E56" s="1057">
        <f>Kiadások2!O19</f>
        <v>45391427</v>
      </c>
      <c r="F56" s="1057">
        <f>Kiadások2!P19</f>
        <v>39441130</v>
      </c>
      <c r="G56" s="1008">
        <f t="shared" si="3"/>
        <v>86.891143563298854</v>
      </c>
      <c r="H56" s="758"/>
      <c r="I56" s="823"/>
    </row>
    <row r="57" spans="1:9" s="25" customFormat="1" ht="15.75" thickBot="1" x14ac:dyDescent="0.3">
      <c r="A57" s="776" t="s">
        <v>13</v>
      </c>
      <c r="B57" s="1270" t="s">
        <v>94</v>
      </c>
      <c r="C57" s="777">
        <v>1500000</v>
      </c>
      <c r="D57" s="1021">
        <f>Kiadások2!N20</f>
        <v>0</v>
      </c>
      <c r="E57" s="1021">
        <f>Kiadások2!O20</f>
        <v>1207165</v>
      </c>
      <c r="F57" s="1021">
        <f>Kiadások2!P20</f>
        <v>1207165</v>
      </c>
      <c r="G57" s="1008">
        <f t="shared" si="3"/>
        <v>100</v>
      </c>
      <c r="H57" s="758"/>
      <c r="I57" s="823"/>
    </row>
    <row r="58" spans="1:9" ht="15.75" thickBot="1" x14ac:dyDescent="0.25">
      <c r="A58" s="776" t="s">
        <v>25</v>
      </c>
      <c r="B58" s="787" t="s">
        <v>103</v>
      </c>
      <c r="C58" s="1021">
        <f>C59+C60</f>
        <v>26971409</v>
      </c>
      <c r="D58" s="1022">
        <f>D59+D60</f>
        <v>20577971</v>
      </c>
      <c r="E58" s="1050">
        <f>E59+E60</f>
        <v>73393986</v>
      </c>
      <c r="F58" s="1021">
        <f>F59+F60</f>
        <v>73393986</v>
      </c>
      <c r="G58" s="1008">
        <f t="shared" si="3"/>
        <v>100</v>
      </c>
      <c r="H58" s="21"/>
    </row>
    <row r="59" spans="1:9" ht="15.75" thickBot="1" x14ac:dyDescent="0.25">
      <c r="A59" s="776" t="s">
        <v>28</v>
      </c>
      <c r="B59" s="788" t="s">
        <v>98</v>
      </c>
      <c r="C59" s="789">
        <v>19417044</v>
      </c>
      <c r="D59" s="1058">
        <v>10128606</v>
      </c>
      <c r="E59" s="1058">
        <v>62944621</v>
      </c>
      <c r="F59" s="1058">
        <v>62944621</v>
      </c>
      <c r="G59" s="1008">
        <f t="shared" si="3"/>
        <v>100</v>
      </c>
      <c r="H59" s="21"/>
    </row>
    <row r="60" spans="1:9" ht="15.75" thickBot="1" x14ac:dyDescent="0.25">
      <c r="A60" s="776" t="s">
        <v>26</v>
      </c>
      <c r="B60" s="788" t="s">
        <v>99</v>
      </c>
      <c r="C60" s="782">
        <v>7554365</v>
      </c>
      <c r="D60" s="1059">
        <f>Kiadások2!N21</f>
        <v>10449365</v>
      </c>
      <c r="E60" s="1059">
        <f>Kiadások2!O21</f>
        <v>10449365</v>
      </c>
      <c r="F60" s="1059">
        <v>10449365</v>
      </c>
      <c r="G60" s="1008">
        <f t="shared" si="3"/>
        <v>100</v>
      </c>
      <c r="H60" s="21"/>
    </row>
    <row r="61" spans="1:9" ht="15.75" thickBot="1" x14ac:dyDescent="0.25">
      <c r="A61" s="776" t="s">
        <v>27</v>
      </c>
      <c r="B61" s="787" t="s">
        <v>140</v>
      </c>
      <c r="C61" s="792">
        <f>C45+C48+C49+C50+C51+C55+C56+C57+C58+C52</f>
        <v>1041331923</v>
      </c>
      <c r="D61" s="790">
        <f>D45+D48+D49+D50+D51+D55+D56+D57+D58+D52</f>
        <v>3102622775</v>
      </c>
      <c r="E61" s="791">
        <f>E45+E48+E49+E50+E51+E55+E56+E57+E58+E52</f>
        <v>3412141985</v>
      </c>
      <c r="F61" s="792">
        <f>F45+F48+F49+F50+F51+F55+F56+F57+F58+F52</f>
        <v>2033141125</v>
      </c>
      <c r="G61" s="1008">
        <f t="shared" si="3"/>
        <v>59.585478386826274</v>
      </c>
      <c r="H61" s="21"/>
    </row>
    <row r="62" spans="1:9" ht="14.25" customHeight="1" thickBot="1" x14ac:dyDescent="0.25">
      <c r="A62" s="1599" t="s">
        <v>498</v>
      </c>
      <c r="B62" s="1600"/>
      <c r="C62" s="777">
        <f>C61</f>
        <v>1041331923</v>
      </c>
      <c r="D62" s="794">
        <f>D61</f>
        <v>3102622775</v>
      </c>
      <c r="E62" s="795">
        <f>E61</f>
        <v>3412141985</v>
      </c>
      <c r="F62" s="777">
        <f>F61</f>
        <v>2033141125</v>
      </c>
      <c r="G62" s="1008">
        <f t="shared" si="3"/>
        <v>59.585478386826274</v>
      </c>
      <c r="H62" s="21"/>
    </row>
    <row r="63" spans="1:9" ht="15" customHeight="1" thickBot="1" x14ac:dyDescent="0.25">
      <c r="A63" s="1599" t="s">
        <v>499</v>
      </c>
      <c r="B63" s="1600"/>
      <c r="C63" s="793">
        <f>C34+C35</f>
        <v>2094004273</v>
      </c>
      <c r="D63" s="794">
        <f>D34+D35</f>
        <v>3102622775</v>
      </c>
      <c r="E63" s="795">
        <f>E34+E35</f>
        <v>3412141985</v>
      </c>
      <c r="F63" s="777">
        <f>F34+F35</f>
        <v>2817691914</v>
      </c>
      <c r="G63" s="1021">
        <f t="shared" si="3"/>
        <v>82.578389949385411</v>
      </c>
      <c r="H63" s="21"/>
    </row>
    <row r="64" spans="1:9" ht="14.25" x14ac:dyDescent="0.2">
      <c r="A64" s="21"/>
      <c r="B64" s="771"/>
      <c r="C64" s="796"/>
      <c r="D64" s="1060"/>
      <c r="E64" s="1060"/>
      <c r="F64" s="1060"/>
      <c r="G64" s="771"/>
      <c r="H64" s="21"/>
    </row>
    <row r="66" spans="4:8" x14ac:dyDescent="0.2">
      <c r="D66" s="1397">
        <f>D62-D63</f>
        <v>0</v>
      </c>
      <c r="F66" s="1062"/>
    </row>
    <row r="68" spans="4:8" x14ac:dyDescent="0.2">
      <c r="D68" s="1245"/>
      <c r="E68" s="1419"/>
      <c r="F68" s="1111"/>
      <c r="G68" s="1250"/>
    </row>
    <row r="69" spans="4:8" x14ac:dyDescent="0.2">
      <c r="D69" s="1245"/>
      <c r="E69" s="1419"/>
      <c r="F69" s="1111"/>
      <c r="G69" s="1250"/>
    </row>
    <row r="70" spans="4:8" x14ac:dyDescent="0.2">
      <c r="D70" s="1245"/>
      <c r="E70" s="1419"/>
      <c r="F70" s="1111"/>
      <c r="G70" s="1250"/>
    </row>
    <row r="71" spans="4:8" x14ac:dyDescent="0.2">
      <c r="D71" s="1245"/>
      <c r="E71" s="1419"/>
      <c r="F71" s="1111"/>
      <c r="G71" s="1250"/>
    </row>
    <row r="72" spans="4:8" x14ac:dyDescent="0.2">
      <c r="D72" s="1245"/>
      <c r="E72" s="1419"/>
      <c r="F72" s="1111"/>
      <c r="G72" s="1250"/>
    </row>
    <row r="73" spans="4:8" x14ac:dyDescent="0.2">
      <c r="D73" s="1245"/>
      <c r="E73" s="1419"/>
      <c r="F73" s="1111"/>
      <c r="G73" s="1250"/>
    </row>
    <row r="74" spans="4:8" x14ac:dyDescent="0.2">
      <c r="D74" s="1420"/>
      <c r="E74" s="1420"/>
      <c r="F74" s="1420"/>
      <c r="G74" s="1250"/>
      <c r="H74" s="1421"/>
    </row>
    <row r="75" spans="4:8" x14ac:dyDescent="0.2">
      <c r="D75" s="1245"/>
      <c r="E75" s="1419"/>
      <c r="F75" s="1111"/>
      <c r="G75" s="1111"/>
    </row>
    <row r="76" spans="4:8" x14ac:dyDescent="0.2">
      <c r="D76" s="1245"/>
      <c r="E76" s="1419"/>
      <c r="F76" s="1111"/>
      <c r="G76" s="1111"/>
    </row>
    <row r="77" spans="4:8" x14ac:dyDescent="0.2">
      <c r="D77" s="1416"/>
      <c r="E77" s="1417"/>
      <c r="F77" s="1418"/>
      <c r="G77" s="1418"/>
    </row>
    <row r="78" spans="4:8" x14ac:dyDescent="0.2">
      <c r="D78" s="1416"/>
      <c r="E78" s="1417"/>
      <c r="F78" s="1418"/>
      <c r="G78" s="1418"/>
    </row>
  </sheetData>
  <mergeCells count="16">
    <mergeCell ref="A1:G1"/>
    <mergeCell ref="A4:G4"/>
    <mergeCell ref="A5:A6"/>
    <mergeCell ref="B5:B6"/>
    <mergeCell ref="C5:C6"/>
    <mergeCell ref="D5:F5"/>
    <mergeCell ref="G5:G6"/>
    <mergeCell ref="A62:B62"/>
    <mergeCell ref="A63:B63"/>
    <mergeCell ref="A34:B34"/>
    <mergeCell ref="A40:G40"/>
    <mergeCell ref="A42:A43"/>
    <mergeCell ref="B42:B43"/>
    <mergeCell ref="C42:C43"/>
    <mergeCell ref="D42:F42"/>
    <mergeCell ref="G42:G43"/>
  </mergeCells>
  <pageMargins left="0.78740157480314965" right="0.78740157480314965" top="0.39370078740157483" bottom="0.39370078740157483" header="0" footer="0"/>
  <pageSetup paperSize="9" scale="53" orientation="landscape" r:id="rId1"/>
  <headerFooter alignWithMargins="0">
    <oddHeader>&amp;R5.sz. melléklet
......./2020.(VI.25.) Egyek Önk.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topLeftCell="A259" zoomScale="130" zoomScaleNormal="130" workbookViewId="0">
      <selection activeCell="A272" sqref="A272:A280"/>
    </sheetView>
  </sheetViews>
  <sheetFormatPr defaultRowHeight="12.75" x14ac:dyDescent="0.2"/>
  <cols>
    <col min="1" max="1" width="37.5703125" style="614" customWidth="1"/>
    <col min="2" max="2" width="27.5703125" style="24" customWidth="1"/>
    <col min="3" max="3" width="18.5703125" style="24" customWidth="1"/>
    <col min="4" max="4" width="17" style="617" customWidth="1"/>
    <col min="5" max="5" width="19" style="618" bestFit="1" customWidth="1"/>
    <col min="6" max="6" width="20.42578125" style="617" customWidth="1"/>
    <col min="7" max="7" width="15.5703125" style="588" customWidth="1"/>
    <col min="8" max="9" width="17.42578125" customWidth="1"/>
    <col min="10" max="10" width="17.85546875" customWidth="1"/>
  </cols>
  <sheetData>
    <row r="1" spans="1:10" ht="15.75" customHeight="1" x14ac:dyDescent="0.2">
      <c r="A1" s="1511" t="s">
        <v>604</v>
      </c>
      <c r="B1" s="1511"/>
      <c r="C1" s="1511"/>
      <c r="D1" s="1511"/>
      <c r="E1" s="1511"/>
      <c r="F1" s="1511"/>
      <c r="G1" s="1511"/>
      <c r="H1" s="173"/>
      <c r="I1" s="173"/>
      <c r="J1" s="173"/>
    </row>
    <row r="2" spans="1:10" ht="12.75" customHeight="1" x14ac:dyDescent="0.2">
      <c r="A2" s="612"/>
      <c r="B2" s="612"/>
      <c r="C2" s="612"/>
      <c r="D2" s="616"/>
      <c r="E2" s="616"/>
      <c r="F2" s="616"/>
      <c r="G2" s="613"/>
      <c r="H2" s="173"/>
      <c r="I2" s="173"/>
      <c r="J2" s="173"/>
    </row>
    <row r="3" spans="1:10" ht="13.5" thickBot="1" x14ac:dyDescent="0.25">
      <c r="F3" s="969" t="s">
        <v>184</v>
      </c>
      <c r="G3" s="969"/>
    </row>
    <row r="4" spans="1:10" ht="16.5" thickBot="1" x14ac:dyDescent="0.3">
      <c r="A4" s="619" t="s">
        <v>73</v>
      </c>
      <c r="B4" s="620" t="s">
        <v>151</v>
      </c>
      <c r="C4" s="621" t="s">
        <v>147</v>
      </c>
      <c r="D4" s="622" t="s">
        <v>152</v>
      </c>
      <c r="E4" s="622" t="s">
        <v>149</v>
      </c>
      <c r="F4" s="623" t="s">
        <v>150</v>
      </c>
    </row>
    <row r="5" spans="1:10" ht="24" x14ac:dyDescent="0.2">
      <c r="A5" s="1512" t="s">
        <v>164</v>
      </c>
      <c r="B5" s="658" t="s">
        <v>53</v>
      </c>
      <c r="C5" s="1131"/>
      <c r="D5" s="626"/>
      <c r="E5" s="627"/>
      <c r="F5" s="667"/>
    </row>
    <row r="6" spans="1:10" ht="36" x14ac:dyDescent="0.2">
      <c r="A6" s="1512"/>
      <c r="B6" s="646" t="s">
        <v>58</v>
      </c>
      <c r="C6" s="1132"/>
      <c r="D6" s="631"/>
      <c r="E6" s="632"/>
      <c r="F6" s="633"/>
    </row>
    <row r="7" spans="1:10" x14ac:dyDescent="0.2">
      <c r="A7" s="1512"/>
      <c r="B7" s="646" t="s">
        <v>71</v>
      </c>
      <c r="C7" s="1132"/>
      <c r="D7" s="631"/>
      <c r="E7" s="632"/>
      <c r="F7" s="633"/>
    </row>
    <row r="8" spans="1:10" x14ac:dyDescent="0.2">
      <c r="A8" s="1512"/>
      <c r="B8" s="646" t="s">
        <v>51</v>
      </c>
      <c r="C8" s="1132">
        <v>770000</v>
      </c>
      <c r="D8" s="631">
        <v>7840000</v>
      </c>
      <c r="E8" s="632">
        <v>4255680</v>
      </c>
      <c r="F8" s="669">
        <f>E8/D8*100</f>
        <v>54.28163265306123</v>
      </c>
    </row>
    <row r="9" spans="1:10" x14ac:dyDescent="0.2">
      <c r="A9" s="1512"/>
      <c r="B9" s="646" t="s">
        <v>72</v>
      </c>
      <c r="C9" s="1132"/>
      <c r="D9" s="631">
        <v>8000</v>
      </c>
      <c r="E9" s="632">
        <v>7874</v>
      </c>
      <c r="F9" s="669">
        <f>E9/D9*100</f>
        <v>98.424999999999997</v>
      </c>
    </row>
    <row r="10" spans="1:10" ht="24" x14ac:dyDescent="0.2">
      <c r="A10" s="1512"/>
      <c r="B10" s="646" t="s">
        <v>69</v>
      </c>
      <c r="C10" s="1132">
        <v>10795199</v>
      </c>
      <c r="D10" s="631">
        <v>10795199</v>
      </c>
      <c r="E10" s="632">
        <v>9295199</v>
      </c>
      <c r="F10" s="669">
        <f>E10/D10*100</f>
        <v>86.104934239748616</v>
      </c>
    </row>
    <row r="11" spans="1:10" ht="24" x14ac:dyDescent="0.2">
      <c r="A11" s="1512"/>
      <c r="B11" s="646" t="s">
        <v>60</v>
      </c>
      <c r="C11" s="1134"/>
      <c r="D11" s="631"/>
      <c r="E11" s="632"/>
      <c r="F11" s="669"/>
    </row>
    <row r="12" spans="1:10" x14ac:dyDescent="0.2">
      <c r="A12" s="1512"/>
      <c r="B12" s="646" t="s">
        <v>67</v>
      </c>
      <c r="C12" s="1132">
        <v>19704024</v>
      </c>
      <c r="D12" s="631">
        <v>20020624</v>
      </c>
      <c r="E12" s="632"/>
      <c r="F12" s="633"/>
    </row>
    <row r="13" spans="1:10" ht="13.5" thickBot="1" x14ac:dyDescent="0.25">
      <c r="A13" s="1513"/>
      <c r="B13" s="649" t="s">
        <v>11</v>
      </c>
      <c r="C13" s="650">
        <f>SUM(C5:C12)</f>
        <v>31269223</v>
      </c>
      <c r="D13" s="644">
        <f>SUM(D5:D12)</f>
        <v>38663823</v>
      </c>
      <c r="E13" s="644">
        <f>SUM(E5:E12)</f>
        <v>13558753</v>
      </c>
      <c r="F13" s="645">
        <f>E13/D13*100</f>
        <v>35.068319550293822</v>
      </c>
    </row>
    <row r="14" spans="1:10" ht="24" x14ac:dyDescent="0.2">
      <c r="A14" s="1512" t="s">
        <v>79</v>
      </c>
      <c r="B14" s="658" t="s">
        <v>53</v>
      </c>
      <c r="C14" s="1131"/>
      <c r="D14" s="626"/>
      <c r="E14" s="627"/>
      <c r="F14" s="628"/>
    </row>
    <row r="15" spans="1:10" ht="36" x14ac:dyDescent="0.2">
      <c r="A15" s="1512"/>
      <c r="B15" s="646" t="s">
        <v>58</v>
      </c>
      <c r="C15" s="1132"/>
      <c r="D15" s="631"/>
      <c r="E15" s="632"/>
      <c r="F15" s="633"/>
    </row>
    <row r="16" spans="1:10" x14ac:dyDescent="0.2">
      <c r="A16" s="1512"/>
      <c r="B16" s="646" t="s">
        <v>71</v>
      </c>
      <c r="C16" s="1132"/>
      <c r="D16" s="631"/>
      <c r="E16" s="632"/>
      <c r="F16" s="633"/>
    </row>
    <row r="17" spans="1:6" x14ac:dyDescent="0.2">
      <c r="A17" s="1512"/>
      <c r="B17" s="646" t="s">
        <v>51</v>
      </c>
      <c r="C17" s="1132">
        <v>1000000</v>
      </c>
      <c r="D17" s="631">
        <v>1635000</v>
      </c>
      <c r="E17" s="632">
        <v>1078890</v>
      </c>
      <c r="F17" s="669">
        <f>E17/D17*100</f>
        <v>65.987155963302754</v>
      </c>
    </row>
    <row r="18" spans="1:6" x14ac:dyDescent="0.2">
      <c r="A18" s="1512"/>
      <c r="B18" s="646" t="s">
        <v>72</v>
      </c>
      <c r="C18" s="1132"/>
      <c r="D18" s="631"/>
      <c r="E18" s="632"/>
      <c r="F18" s="633"/>
    </row>
    <row r="19" spans="1:6" ht="24" x14ac:dyDescent="0.2">
      <c r="A19" s="1512"/>
      <c r="B19" s="646" t="s">
        <v>69</v>
      </c>
      <c r="C19" s="1132"/>
      <c r="D19" s="631"/>
      <c r="E19" s="632"/>
      <c r="F19" s="633"/>
    </row>
    <row r="20" spans="1:6" ht="24" x14ac:dyDescent="0.2">
      <c r="A20" s="1512"/>
      <c r="B20" s="646" t="s">
        <v>60</v>
      </c>
      <c r="C20" s="1225"/>
      <c r="D20" s="639"/>
      <c r="E20" s="640"/>
      <c r="F20" s="641"/>
    </row>
    <row r="21" spans="1:6" x14ac:dyDescent="0.2">
      <c r="A21" s="1512"/>
      <c r="B21" s="646" t="s">
        <v>67</v>
      </c>
      <c r="C21" s="1226">
        <v>1805000</v>
      </c>
      <c r="D21" s="639">
        <v>1805000</v>
      </c>
      <c r="E21" s="640"/>
      <c r="F21" s="641"/>
    </row>
    <row r="22" spans="1:6" ht="13.5" thickBot="1" x14ac:dyDescent="0.25">
      <c r="A22" s="1513"/>
      <c r="B22" s="649" t="s">
        <v>11</v>
      </c>
      <c r="C22" s="650">
        <f>SUM(C14:C21)</f>
        <v>2805000</v>
      </c>
      <c r="D22" s="644">
        <f>SUM(D14:D21)</f>
        <v>3440000</v>
      </c>
      <c r="E22" s="644">
        <f>SUM(E14:E21)</f>
        <v>1078890</v>
      </c>
      <c r="F22" s="645">
        <f>E22/D22*100</f>
        <v>31.363081395348836</v>
      </c>
    </row>
    <row r="23" spans="1:6" ht="24" x14ac:dyDescent="0.2">
      <c r="A23" s="1512" t="s">
        <v>74</v>
      </c>
      <c r="B23" s="658" t="s">
        <v>53</v>
      </c>
      <c r="C23" s="1131"/>
      <c r="D23" s="626">
        <v>730000</v>
      </c>
      <c r="E23" s="627">
        <v>4442709</v>
      </c>
      <c r="F23" s="667">
        <f t="shared" ref="F23:F24" si="0">E23/D23*100</f>
        <v>608.59027397260274</v>
      </c>
    </row>
    <row r="24" spans="1:6" ht="36" x14ac:dyDescent="0.2">
      <c r="A24" s="1512"/>
      <c r="B24" s="646" t="s">
        <v>58</v>
      </c>
      <c r="C24" s="1132"/>
      <c r="D24" s="631">
        <v>293250</v>
      </c>
      <c r="E24" s="632">
        <v>293250</v>
      </c>
      <c r="F24" s="669">
        <f t="shared" si="0"/>
        <v>100</v>
      </c>
    </row>
    <row r="25" spans="1:6" x14ac:dyDescent="0.2">
      <c r="A25" s="1512"/>
      <c r="B25" s="646" t="s">
        <v>71</v>
      </c>
      <c r="C25" s="1132"/>
      <c r="D25" s="631"/>
      <c r="E25" s="632"/>
      <c r="F25" s="669"/>
    </row>
    <row r="26" spans="1:6" x14ac:dyDescent="0.2">
      <c r="A26" s="1512"/>
      <c r="B26" s="646" t="s">
        <v>51</v>
      </c>
      <c r="C26" s="1132">
        <v>35012198</v>
      </c>
      <c r="D26" s="631">
        <v>48286674</v>
      </c>
      <c r="E26" s="632">
        <v>38500641</v>
      </c>
      <c r="F26" s="669">
        <f>E26/D26*100</f>
        <v>79.733470563741875</v>
      </c>
    </row>
    <row r="27" spans="1:6" x14ac:dyDescent="0.2">
      <c r="A27" s="1512"/>
      <c r="B27" s="646" t="s">
        <v>72</v>
      </c>
      <c r="C27" s="1132">
        <v>25679000</v>
      </c>
      <c r="D27" s="631">
        <v>26680031</v>
      </c>
      <c r="E27" s="632">
        <v>53501302</v>
      </c>
      <c r="F27" s="669">
        <f>E27/D27*100</f>
        <v>200.52938469224421</v>
      </c>
    </row>
    <row r="28" spans="1:6" ht="24" x14ac:dyDescent="0.2">
      <c r="A28" s="1512"/>
      <c r="B28" s="646" t="s">
        <v>69</v>
      </c>
      <c r="C28" s="1132"/>
      <c r="D28" s="631"/>
      <c r="E28" s="632"/>
      <c r="F28" s="633"/>
    </row>
    <row r="29" spans="1:6" ht="24" x14ac:dyDescent="0.2">
      <c r="A29" s="1512"/>
      <c r="B29" s="646" t="s">
        <v>60</v>
      </c>
      <c r="C29" s="1134"/>
      <c r="D29" s="631"/>
      <c r="E29" s="632"/>
      <c r="F29" s="633"/>
    </row>
    <row r="30" spans="1:6" x14ac:dyDescent="0.2">
      <c r="A30" s="1512"/>
      <c r="B30" s="646" t="s">
        <v>67</v>
      </c>
      <c r="C30" s="1132">
        <v>44428562</v>
      </c>
      <c r="D30" s="631">
        <v>44428562</v>
      </c>
      <c r="E30" s="632"/>
      <c r="F30" s="633"/>
    </row>
    <row r="31" spans="1:6" ht="13.5" thickBot="1" x14ac:dyDescent="0.25">
      <c r="A31" s="1513"/>
      <c r="B31" s="649" t="s">
        <v>11</v>
      </c>
      <c r="C31" s="650">
        <f>SUM(C23:C30)</f>
        <v>105119760</v>
      </c>
      <c r="D31" s="1130">
        <f>SUM(D23:D30)</f>
        <v>120418517</v>
      </c>
      <c r="E31" s="1130">
        <f>SUM(E23:E30)</f>
        <v>96737902</v>
      </c>
      <c r="F31" s="645">
        <f>E31/D31*100</f>
        <v>80.334739548403505</v>
      </c>
    </row>
    <row r="32" spans="1:6" ht="24" x14ac:dyDescent="0.2">
      <c r="A32" s="1512" t="s">
        <v>75</v>
      </c>
      <c r="B32" s="660" t="s">
        <v>53</v>
      </c>
      <c r="C32" s="1131">
        <v>345836772</v>
      </c>
      <c r="D32" s="626">
        <v>283375228</v>
      </c>
      <c r="E32" s="627">
        <v>283375228</v>
      </c>
      <c r="F32" s="667">
        <f>E32/D32*100</f>
        <v>100</v>
      </c>
    </row>
    <row r="33" spans="1:6" ht="36" x14ac:dyDescent="0.2">
      <c r="A33" s="1512"/>
      <c r="B33" s="646" t="s">
        <v>58</v>
      </c>
      <c r="C33" s="1132"/>
      <c r="D33" s="631">
        <v>16999999</v>
      </c>
      <c r="E33" s="632">
        <v>16999999</v>
      </c>
      <c r="F33" s="633">
        <f>E33/D33*100</f>
        <v>100</v>
      </c>
    </row>
    <row r="34" spans="1:6" x14ac:dyDescent="0.2">
      <c r="A34" s="1512"/>
      <c r="B34" s="646" t="s">
        <v>71</v>
      </c>
      <c r="C34" s="1132"/>
      <c r="D34" s="631"/>
      <c r="E34" s="632"/>
      <c r="F34" s="633"/>
    </row>
    <row r="35" spans="1:6" x14ac:dyDescent="0.2">
      <c r="A35" s="1512"/>
      <c r="B35" s="646" t="s">
        <v>51</v>
      </c>
      <c r="C35" s="1132"/>
      <c r="D35" s="631"/>
      <c r="E35" s="632"/>
      <c r="F35" s="633"/>
    </row>
    <row r="36" spans="1:6" x14ac:dyDescent="0.2">
      <c r="A36" s="1512"/>
      <c r="B36" s="646" t="s">
        <v>72</v>
      </c>
      <c r="C36" s="1132"/>
      <c r="D36" s="631"/>
      <c r="E36" s="632"/>
      <c r="F36" s="633"/>
    </row>
    <row r="37" spans="1:6" ht="24" x14ac:dyDescent="0.2">
      <c r="A37" s="1512"/>
      <c r="B37" s="646" t="s">
        <v>69</v>
      </c>
      <c r="C37" s="1132"/>
      <c r="D37" s="631"/>
      <c r="E37" s="632"/>
      <c r="F37" s="633"/>
    </row>
    <row r="38" spans="1:6" ht="24" x14ac:dyDescent="0.2">
      <c r="A38" s="1512"/>
      <c r="B38" s="646" t="s">
        <v>60</v>
      </c>
      <c r="C38" s="1134"/>
      <c r="D38" s="631"/>
      <c r="E38" s="632"/>
      <c r="F38" s="633"/>
    </row>
    <row r="39" spans="1:6" x14ac:dyDescent="0.2">
      <c r="A39" s="1512"/>
      <c r="B39" s="646" t="s">
        <v>67</v>
      </c>
      <c r="C39" s="1132">
        <v>10128606</v>
      </c>
      <c r="D39" s="631">
        <v>73298457</v>
      </c>
      <c r="E39" s="632">
        <v>63169851</v>
      </c>
      <c r="F39" s="633">
        <f t="shared" ref="F39" si="1">E39/D39*100</f>
        <v>86.181692746956458</v>
      </c>
    </row>
    <row r="40" spans="1:6" ht="13.5" thickBot="1" x14ac:dyDescent="0.25">
      <c r="A40" s="1513"/>
      <c r="B40" s="649" t="s">
        <v>11</v>
      </c>
      <c r="C40" s="650">
        <f>SUM(C32:C39)</f>
        <v>355965378</v>
      </c>
      <c r="D40" s="644">
        <f>SUM(D32:D39)</f>
        <v>373673684</v>
      </c>
      <c r="E40" s="644">
        <f>SUM(E32:E39)</f>
        <v>363545078</v>
      </c>
      <c r="F40" s="645">
        <f>E40/D40*100</f>
        <v>97.28945161682833</v>
      </c>
    </row>
    <row r="41" spans="1:6" ht="24" x14ac:dyDescent="0.2">
      <c r="A41" s="1504" t="s">
        <v>362</v>
      </c>
      <c r="B41" s="646" t="s">
        <v>53</v>
      </c>
      <c r="C41" s="666"/>
      <c r="D41" s="970"/>
      <c r="E41" s="970"/>
      <c r="F41" s="628"/>
    </row>
    <row r="42" spans="1:6" ht="36" x14ac:dyDescent="0.2">
      <c r="A42" s="1505"/>
      <c r="B42" s="646" t="s">
        <v>58</v>
      </c>
      <c r="C42" s="668"/>
      <c r="D42" s="971"/>
      <c r="E42" s="971"/>
      <c r="F42" s="648"/>
    </row>
    <row r="43" spans="1:6" x14ac:dyDescent="0.2">
      <c r="A43" s="1505"/>
      <c r="B43" s="646" t="s">
        <v>71</v>
      </c>
      <c r="C43" s="668"/>
      <c r="D43" s="971"/>
      <c r="E43" s="971"/>
      <c r="F43" s="648"/>
    </row>
    <row r="44" spans="1:6" x14ac:dyDescent="0.2">
      <c r="A44" s="1505"/>
      <c r="B44" s="646" t="s">
        <v>51</v>
      </c>
      <c r="C44" s="668"/>
      <c r="D44" s="971"/>
      <c r="E44" s="971"/>
      <c r="F44" s="648"/>
    </row>
    <row r="45" spans="1:6" x14ac:dyDescent="0.2">
      <c r="A45" s="1505"/>
      <c r="B45" s="646" t="s">
        <v>72</v>
      </c>
      <c r="C45" s="668"/>
      <c r="D45" s="971"/>
      <c r="E45" s="971"/>
      <c r="F45" s="648"/>
    </row>
    <row r="46" spans="1:6" ht="24" x14ac:dyDescent="0.2">
      <c r="A46" s="1505"/>
      <c r="B46" s="646" t="s">
        <v>69</v>
      </c>
      <c r="C46" s="668"/>
      <c r="D46" s="971"/>
      <c r="E46" s="971"/>
      <c r="F46" s="648"/>
    </row>
    <row r="47" spans="1:6" ht="24" x14ac:dyDescent="0.2">
      <c r="A47" s="1505"/>
      <c r="B47" s="646" t="s">
        <v>60</v>
      </c>
      <c r="C47" s="668"/>
      <c r="D47" s="971"/>
      <c r="E47" s="971"/>
      <c r="F47" s="648"/>
    </row>
    <row r="48" spans="1:6" x14ac:dyDescent="0.2">
      <c r="A48" s="1505"/>
      <c r="B48" s="646" t="s">
        <v>67</v>
      </c>
      <c r="C48" s="668"/>
      <c r="D48" s="971"/>
      <c r="E48" s="971">
        <v>1052470843</v>
      </c>
      <c r="F48" s="633"/>
    </row>
    <row r="49" spans="1:6" ht="13.5" thickBot="1" x14ac:dyDescent="0.25">
      <c r="A49" s="1507"/>
      <c r="B49" s="649" t="s">
        <v>11</v>
      </c>
      <c r="C49" s="651">
        <f>SUM(C41:C48)</f>
        <v>0</v>
      </c>
      <c r="D49" s="1129">
        <f>SUM(D41:D48)</f>
        <v>0</v>
      </c>
      <c r="E49" s="1129">
        <f>SUM(E41:E48)</f>
        <v>1052470843</v>
      </c>
      <c r="F49" s="638"/>
    </row>
    <row r="50" spans="1:6" ht="16.5" thickBot="1" x14ac:dyDescent="0.3">
      <c r="A50" s="619" t="s">
        <v>73</v>
      </c>
      <c r="B50" s="620" t="s">
        <v>151</v>
      </c>
      <c r="C50" s="1227" t="s">
        <v>147</v>
      </c>
      <c r="D50" s="1228" t="s">
        <v>152</v>
      </c>
      <c r="E50" s="1228" t="s">
        <v>149</v>
      </c>
      <c r="F50" s="1229" t="s">
        <v>150</v>
      </c>
    </row>
    <row r="51" spans="1:6" ht="24" x14ac:dyDescent="0.2">
      <c r="A51" s="1504" t="s">
        <v>605</v>
      </c>
      <c r="B51" s="658" t="s">
        <v>53</v>
      </c>
      <c r="C51" s="1131"/>
      <c r="D51" s="626"/>
      <c r="E51" s="627">
        <v>3251985</v>
      </c>
      <c r="F51" s="628"/>
    </row>
    <row r="52" spans="1:6" ht="36" x14ac:dyDescent="0.2">
      <c r="A52" s="1505"/>
      <c r="B52" s="646" t="s">
        <v>58</v>
      </c>
      <c r="C52" s="1132"/>
      <c r="D52" s="631"/>
      <c r="E52" s="632"/>
      <c r="F52" s="633"/>
    </row>
    <row r="53" spans="1:6" x14ac:dyDescent="0.2">
      <c r="A53" s="1505"/>
      <c r="B53" s="646" t="s">
        <v>71</v>
      </c>
      <c r="C53" s="1132"/>
      <c r="D53" s="631"/>
      <c r="E53" s="632"/>
      <c r="F53" s="633"/>
    </row>
    <row r="54" spans="1:6" x14ac:dyDescent="0.2">
      <c r="A54" s="1505"/>
      <c r="B54" s="646" t="s">
        <v>51</v>
      </c>
      <c r="C54" s="1132"/>
      <c r="D54" s="631"/>
      <c r="E54" s="632"/>
      <c r="F54" s="633"/>
    </row>
    <row r="55" spans="1:6" x14ac:dyDescent="0.2">
      <c r="A55" s="1505"/>
      <c r="B55" s="646" t="s">
        <v>72</v>
      </c>
      <c r="C55" s="1132"/>
      <c r="D55" s="631"/>
      <c r="E55" s="632"/>
      <c r="F55" s="633"/>
    </row>
    <row r="56" spans="1:6" ht="24" x14ac:dyDescent="0.2">
      <c r="A56" s="1505"/>
      <c r="B56" s="646" t="s">
        <v>69</v>
      </c>
      <c r="C56" s="1132"/>
      <c r="D56" s="631">
        <v>2547998</v>
      </c>
      <c r="E56" s="632"/>
      <c r="F56" s="633"/>
    </row>
    <row r="57" spans="1:6" ht="24" x14ac:dyDescent="0.2">
      <c r="A57" s="1505"/>
      <c r="B57" s="646" t="s">
        <v>60</v>
      </c>
      <c r="C57" s="1134"/>
      <c r="D57" s="631"/>
      <c r="E57" s="632"/>
      <c r="F57" s="633"/>
    </row>
    <row r="58" spans="1:6" x14ac:dyDescent="0.2">
      <c r="A58" s="1505"/>
      <c r="B58" s="646" t="s">
        <v>67</v>
      </c>
      <c r="C58" s="1132"/>
      <c r="D58" s="631"/>
      <c r="E58" s="632"/>
      <c r="F58" s="633"/>
    </row>
    <row r="59" spans="1:6" ht="13.5" thickBot="1" x14ac:dyDescent="0.25">
      <c r="A59" s="1506"/>
      <c r="B59" s="649" t="s">
        <v>11</v>
      </c>
      <c r="C59" s="651">
        <f>SUM(C51:C58)</f>
        <v>0</v>
      </c>
      <c r="D59" s="637">
        <f>SUM(D51:D58)</f>
        <v>2547998</v>
      </c>
      <c r="E59" s="637">
        <f>SUM(E51:E58)</f>
        <v>3251985</v>
      </c>
      <c r="F59" s="638">
        <f>E59/D59*100</f>
        <v>127.62902482655009</v>
      </c>
    </row>
    <row r="60" spans="1:6" ht="24" x14ac:dyDescent="0.2">
      <c r="A60" s="1504" t="s">
        <v>474</v>
      </c>
      <c r="B60" s="658" t="s">
        <v>53</v>
      </c>
      <c r="C60" s="1131"/>
      <c r="D60" s="626">
        <v>73208201</v>
      </c>
      <c r="E60" s="627">
        <v>84509877</v>
      </c>
      <c r="F60" s="628">
        <f>E60/D60*100</f>
        <v>115.43771851462378</v>
      </c>
    </row>
    <row r="61" spans="1:6" ht="36" x14ac:dyDescent="0.2">
      <c r="A61" s="1505"/>
      <c r="B61" s="646" t="s">
        <v>58</v>
      </c>
      <c r="C61" s="1132"/>
      <c r="D61" s="631"/>
      <c r="E61" s="632"/>
      <c r="F61" s="633"/>
    </row>
    <row r="62" spans="1:6" x14ac:dyDescent="0.2">
      <c r="A62" s="1505"/>
      <c r="B62" s="646" t="s">
        <v>71</v>
      </c>
      <c r="C62" s="1132"/>
      <c r="D62" s="631"/>
      <c r="E62" s="632"/>
      <c r="F62" s="633"/>
    </row>
    <row r="63" spans="1:6" x14ac:dyDescent="0.2">
      <c r="A63" s="1505"/>
      <c r="B63" s="646" t="s">
        <v>51</v>
      </c>
      <c r="C63" s="1132"/>
      <c r="D63" s="631"/>
      <c r="E63" s="632"/>
      <c r="F63" s="633"/>
    </row>
    <row r="64" spans="1:6" x14ac:dyDescent="0.2">
      <c r="A64" s="1505"/>
      <c r="B64" s="646" t="s">
        <v>72</v>
      </c>
      <c r="C64" s="1132"/>
      <c r="D64" s="631"/>
      <c r="E64" s="632"/>
      <c r="F64" s="633"/>
    </row>
    <row r="65" spans="1:6" ht="24" x14ac:dyDescent="0.2">
      <c r="A65" s="1505"/>
      <c r="B65" s="646" t="s">
        <v>69</v>
      </c>
      <c r="C65" s="1132"/>
      <c r="D65" s="631"/>
      <c r="E65" s="632"/>
      <c r="F65" s="633"/>
    </row>
    <row r="66" spans="1:6" ht="24" x14ac:dyDescent="0.2">
      <c r="A66" s="1505"/>
      <c r="B66" s="646" t="s">
        <v>60</v>
      </c>
      <c r="C66" s="1134"/>
      <c r="D66" s="631"/>
      <c r="E66" s="632"/>
      <c r="F66" s="633"/>
    </row>
    <row r="67" spans="1:6" x14ac:dyDescent="0.2">
      <c r="A67" s="1505"/>
      <c r="B67" s="646" t="s">
        <v>67</v>
      </c>
      <c r="C67" s="1132"/>
      <c r="D67" s="631"/>
      <c r="E67" s="632"/>
      <c r="F67" s="633"/>
    </row>
    <row r="68" spans="1:6" ht="13.5" thickBot="1" x14ac:dyDescent="0.25">
      <c r="A68" s="1506"/>
      <c r="B68" s="649" t="s">
        <v>11</v>
      </c>
      <c r="C68" s="651">
        <f>SUM(C60:C67)</f>
        <v>0</v>
      </c>
      <c r="D68" s="637">
        <f>SUM(D60:D67)</f>
        <v>73208201</v>
      </c>
      <c r="E68" s="637">
        <f>SUM(E60:E67)</f>
        <v>84509877</v>
      </c>
      <c r="F68" s="638">
        <f>E68/D68*100</f>
        <v>115.43771851462378</v>
      </c>
    </row>
    <row r="69" spans="1:6" ht="24" x14ac:dyDescent="0.2">
      <c r="A69" s="1508" t="s">
        <v>78</v>
      </c>
      <c r="B69" s="624" t="s">
        <v>53</v>
      </c>
      <c r="C69" s="653"/>
      <c r="D69" s="654">
        <v>309015388</v>
      </c>
      <c r="E69" s="655">
        <v>293109342</v>
      </c>
      <c r="F69" s="656">
        <f>E69/D69*100</f>
        <v>94.852668631505182</v>
      </c>
    </row>
    <row r="70" spans="1:6" ht="36" x14ac:dyDescent="0.2">
      <c r="A70" s="1509"/>
      <c r="B70" s="629" t="s">
        <v>58</v>
      </c>
      <c r="C70" s="630"/>
      <c r="D70" s="631">
        <v>952000</v>
      </c>
      <c r="E70" s="632">
        <v>48298959</v>
      </c>
      <c r="F70" s="633">
        <f>E70/D70*100</f>
        <v>5073.4200630252108</v>
      </c>
    </row>
    <row r="71" spans="1:6" x14ac:dyDescent="0.2">
      <c r="A71" s="1509"/>
      <c r="B71" s="629" t="s">
        <v>71</v>
      </c>
      <c r="C71" s="630"/>
      <c r="D71" s="631"/>
      <c r="E71" s="632"/>
      <c r="F71" s="633"/>
    </row>
    <row r="72" spans="1:6" x14ac:dyDescent="0.2">
      <c r="A72" s="1509"/>
      <c r="B72" s="629" t="s">
        <v>51</v>
      </c>
      <c r="C72" s="630">
        <v>16000000</v>
      </c>
      <c r="D72" s="631">
        <v>17620000</v>
      </c>
      <c r="E72" s="632">
        <v>19573529</v>
      </c>
      <c r="F72" s="633">
        <f>E72/D72*100</f>
        <v>111.08699772985244</v>
      </c>
    </row>
    <row r="73" spans="1:6" x14ac:dyDescent="0.2">
      <c r="A73" s="1509"/>
      <c r="B73" s="629" t="s">
        <v>72</v>
      </c>
      <c r="C73" s="630"/>
      <c r="D73" s="631"/>
      <c r="E73" s="632"/>
      <c r="F73" s="633"/>
    </row>
    <row r="74" spans="1:6" ht="24" x14ac:dyDescent="0.2">
      <c r="A74" s="1509"/>
      <c r="B74" s="629" t="s">
        <v>69</v>
      </c>
      <c r="C74" s="630"/>
      <c r="D74" s="631"/>
      <c r="E74" s="632"/>
      <c r="F74" s="633"/>
    </row>
    <row r="75" spans="1:6" ht="24" x14ac:dyDescent="0.2">
      <c r="A75" s="1509"/>
      <c r="B75" s="629" t="s">
        <v>60</v>
      </c>
      <c r="C75" s="652"/>
      <c r="D75" s="631"/>
      <c r="E75" s="632"/>
      <c r="F75" s="633"/>
    </row>
    <row r="76" spans="1:6" x14ac:dyDescent="0.2">
      <c r="A76" s="1509"/>
      <c r="B76" s="629" t="s">
        <v>67</v>
      </c>
      <c r="C76" s="630">
        <v>59486316</v>
      </c>
      <c r="D76" s="631">
        <v>59646316</v>
      </c>
      <c r="E76" s="632"/>
      <c r="F76" s="633"/>
    </row>
    <row r="77" spans="1:6" ht="13.5" thickBot="1" x14ac:dyDescent="0.25">
      <c r="A77" s="1510"/>
      <c r="B77" s="657" t="s">
        <v>11</v>
      </c>
      <c r="C77" s="643">
        <f>SUM(C69:C76)</f>
        <v>75486316</v>
      </c>
      <c r="D77" s="644">
        <f>SUM(D69:D76)</f>
        <v>387233704</v>
      </c>
      <c r="E77" s="644">
        <f>SUM(E69:E76)</f>
        <v>360981830</v>
      </c>
      <c r="F77" s="645">
        <f>E77/D77*100</f>
        <v>93.220663974022273</v>
      </c>
    </row>
    <row r="78" spans="1:6" ht="24" x14ac:dyDescent="0.2">
      <c r="A78" s="1508" t="s">
        <v>536</v>
      </c>
      <c r="B78" s="1125" t="s">
        <v>53</v>
      </c>
      <c r="C78" s="1126"/>
      <c r="D78" s="970"/>
      <c r="E78" s="970"/>
      <c r="F78" s="647"/>
    </row>
    <row r="79" spans="1:6" ht="36" x14ac:dyDescent="0.2">
      <c r="A79" s="1509"/>
      <c r="B79" s="1127" t="s">
        <v>58</v>
      </c>
      <c r="C79" s="1124"/>
      <c r="D79" s="971"/>
      <c r="E79" s="971"/>
      <c r="F79" s="648"/>
    </row>
    <row r="80" spans="1:6" x14ac:dyDescent="0.2">
      <c r="A80" s="1509"/>
      <c r="B80" s="1127" t="s">
        <v>71</v>
      </c>
      <c r="C80" s="1124"/>
      <c r="D80" s="971"/>
      <c r="E80" s="971"/>
      <c r="F80" s="648"/>
    </row>
    <row r="81" spans="1:6" x14ac:dyDescent="0.2">
      <c r="A81" s="1509"/>
      <c r="B81" s="1127" t="s">
        <v>51</v>
      </c>
      <c r="C81" s="1124">
        <v>9175000</v>
      </c>
      <c r="D81" s="971">
        <v>12885000</v>
      </c>
      <c r="E81" s="971">
        <v>14896067</v>
      </c>
      <c r="F81" s="633">
        <f>E81/D81*100</f>
        <v>115.60781528909585</v>
      </c>
    </row>
    <row r="82" spans="1:6" x14ac:dyDescent="0.2">
      <c r="A82" s="1509"/>
      <c r="B82" s="1127" t="s">
        <v>72</v>
      </c>
      <c r="C82" s="1124"/>
      <c r="D82" s="971"/>
      <c r="E82" s="971"/>
      <c r="F82" s="648"/>
    </row>
    <row r="83" spans="1:6" ht="24" x14ac:dyDescent="0.2">
      <c r="A83" s="1509"/>
      <c r="B83" s="1127" t="s">
        <v>69</v>
      </c>
      <c r="C83" s="1124"/>
      <c r="D83" s="971"/>
      <c r="E83" s="971"/>
      <c r="F83" s="648"/>
    </row>
    <row r="84" spans="1:6" ht="24" x14ac:dyDescent="0.2">
      <c r="A84" s="1509"/>
      <c r="B84" s="1127" t="s">
        <v>60</v>
      </c>
      <c r="C84" s="1124"/>
      <c r="D84" s="971"/>
      <c r="E84" s="971"/>
      <c r="F84" s="648"/>
    </row>
    <row r="85" spans="1:6" x14ac:dyDescent="0.2">
      <c r="A85" s="1509"/>
      <c r="B85" s="1127" t="s">
        <v>67</v>
      </c>
      <c r="C85" s="1124">
        <v>500000</v>
      </c>
      <c r="D85" s="971">
        <v>500000</v>
      </c>
      <c r="E85" s="971"/>
      <c r="F85" s="648"/>
    </row>
    <row r="86" spans="1:6" ht="13.5" thickBot="1" x14ac:dyDescent="0.25">
      <c r="A86" s="1510"/>
      <c r="B86" s="1128" t="s">
        <v>11</v>
      </c>
      <c r="C86" s="1130">
        <f>SUM(C78:C85)</f>
        <v>9675000</v>
      </c>
      <c r="D86" s="1130">
        <f t="shared" ref="D86:E86" si="2">SUM(D78:D85)</f>
        <v>13385000</v>
      </c>
      <c r="E86" s="1130">
        <f t="shared" si="2"/>
        <v>14896067</v>
      </c>
      <c r="F86" s="826">
        <f>E86/D86*100</f>
        <v>111.28925663055659</v>
      </c>
    </row>
    <row r="87" spans="1:6" ht="16.5" thickBot="1" x14ac:dyDescent="0.3">
      <c r="A87" s="619" t="s">
        <v>73</v>
      </c>
      <c r="B87" s="620" t="s">
        <v>151</v>
      </c>
      <c r="C87" s="621" t="s">
        <v>147</v>
      </c>
      <c r="D87" s="622" t="s">
        <v>152</v>
      </c>
      <c r="E87" s="622" t="s">
        <v>149</v>
      </c>
      <c r="F87" s="623" t="s">
        <v>150</v>
      </c>
    </row>
    <row r="88" spans="1:6" ht="24" x14ac:dyDescent="0.2">
      <c r="A88" s="1508" t="s">
        <v>475</v>
      </c>
      <c r="B88" s="660" t="s">
        <v>53</v>
      </c>
      <c r="C88" s="1131"/>
      <c r="D88" s="626"/>
      <c r="E88" s="627"/>
      <c r="F88" s="628"/>
    </row>
    <row r="89" spans="1:6" ht="36" x14ac:dyDescent="0.2">
      <c r="A89" s="1509"/>
      <c r="B89" s="646" t="s">
        <v>58</v>
      </c>
      <c r="C89" s="1132">
        <v>776789210</v>
      </c>
      <c r="D89" s="631">
        <v>776789210</v>
      </c>
      <c r="E89" s="632">
        <v>137641665</v>
      </c>
      <c r="F89" s="633">
        <f>E89/D89*100</f>
        <v>17.719307017665706</v>
      </c>
    </row>
    <row r="90" spans="1:6" x14ac:dyDescent="0.2">
      <c r="A90" s="1509"/>
      <c r="B90" s="646" t="s">
        <v>71</v>
      </c>
      <c r="C90" s="1132"/>
      <c r="D90" s="631"/>
      <c r="E90" s="632"/>
      <c r="F90" s="633"/>
    </row>
    <row r="91" spans="1:6" x14ac:dyDescent="0.2">
      <c r="A91" s="1509"/>
      <c r="B91" s="646" t="s">
        <v>51</v>
      </c>
      <c r="C91" s="1132"/>
      <c r="D91" s="631"/>
      <c r="E91" s="632"/>
      <c r="F91" s="633"/>
    </row>
    <row r="92" spans="1:6" x14ac:dyDescent="0.2">
      <c r="A92" s="1509"/>
      <c r="B92" s="646" t="s">
        <v>72</v>
      </c>
      <c r="C92" s="1132"/>
      <c r="D92" s="631"/>
      <c r="E92" s="632"/>
      <c r="F92" s="633"/>
    </row>
    <row r="93" spans="1:6" ht="24" x14ac:dyDescent="0.2">
      <c r="A93" s="1509"/>
      <c r="B93" s="646" t="s">
        <v>69</v>
      </c>
      <c r="C93" s="1132"/>
      <c r="D93" s="631"/>
      <c r="E93" s="632"/>
      <c r="F93" s="633"/>
    </row>
    <row r="94" spans="1:6" ht="24" x14ac:dyDescent="0.2">
      <c r="A94" s="1509"/>
      <c r="B94" s="646" t="s">
        <v>60</v>
      </c>
      <c r="C94" s="1133"/>
      <c r="D94" s="631"/>
      <c r="E94" s="632"/>
      <c r="F94" s="633"/>
    </row>
    <row r="95" spans="1:6" x14ac:dyDescent="0.2">
      <c r="A95" s="1509"/>
      <c r="B95" s="646" t="s">
        <v>67</v>
      </c>
      <c r="C95" s="1132">
        <v>59608565</v>
      </c>
      <c r="D95" s="631">
        <v>59608565</v>
      </c>
      <c r="E95" s="632"/>
      <c r="F95" s="633"/>
    </row>
    <row r="96" spans="1:6" ht="13.5" thickBot="1" x14ac:dyDescent="0.25">
      <c r="A96" s="1510"/>
      <c r="B96" s="649" t="s">
        <v>11</v>
      </c>
      <c r="C96" s="651">
        <f>SUM(C88:C95)</f>
        <v>836397775</v>
      </c>
      <c r="D96" s="1129">
        <f>SUM(D88:D95)</f>
        <v>836397775</v>
      </c>
      <c r="E96" s="1129">
        <f>SUM(E88:E95)</f>
        <v>137641665</v>
      </c>
      <c r="F96" s="638">
        <f>E96/D96%</f>
        <v>16.456483878140396</v>
      </c>
    </row>
    <row r="97" spans="1:6" ht="24" x14ac:dyDescent="0.2">
      <c r="A97" s="1504" t="s">
        <v>606</v>
      </c>
      <c r="B97" s="624" t="s">
        <v>53</v>
      </c>
      <c r="C97" s="1131"/>
      <c r="D97" s="626"/>
      <c r="E97" s="627"/>
      <c r="F97" s="628"/>
    </row>
    <row r="98" spans="1:6" ht="36" x14ac:dyDescent="0.2">
      <c r="A98" s="1505"/>
      <c r="B98" s="629" t="s">
        <v>58</v>
      </c>
      <c r="C98" s="1132">
        <v>99993938</v>
      </c>
      <c r="D98" s="631">
        <v>114993937</v>
      </c>
      <c r="E98" s="632">
        <v>49537014</v>
      </c>
      <c r="F98" s="633">
        <f>E98/D98%</f>
        <v>43.077935491503347</v>
      </c>
    </row>
    <row r="99" spans="1:6" x14ac:dyDescent="0.2">
      <c r="A99" s="1505"/>
      <c r="B99" s="629" t="s">
        <v>71</v>
      </c>
      <c r="C99" s="1132"/>
      <c r="D99" s="632"/>
      <c r="E99" s="632"/>
      <c r="F99" s="633"/>
    </row>
    <row r="100" spans="1:6" x14ac:dyDescent="0.2">
      <c r="A100" s="1505"/>
      <c r="B100" s="629" t="s">
        <v>51</v>
      </c>
      <c r="C100" s="1132"/>
      <c r="D100" s="631"/>
      <c r="E100" s="632"/>
      <c r="F100" s="633"/>
    </row>
    <row r="101" spans="1:6" x14ac:dyDescent="0.2">
      <c r="A101" s="1505"/>
      <c r="B101" s="629" t="s">
        <v>72</v>
      </c>
      <c r="C101" s="1132"/>
      <c r="D101" s="631"/>
      <c r="E101" s="632"/>
      <c r="F101" s="633"/>
    </row>
    <row r="102" spans="1:6" ht="24" x14ac:dyDescent="0.2">
      <c r="A102" s="1505"/>
      <c r="B102" s="629" t="s">
        <v>69</v>
      </c>
      <c r="C102" s="1132"/>
      <c r="D102" s="631"/>
      <c r="E102" s="631" t="s">
        <v>607</v>
      </c>
      <c r="F102" s="633"/>
    </row>
    <row r="103" spans="1:6" ht="24" x14ac:dyDescent="0.2">
      <c r="A103" s="1505"/>
      <c r="B103" s="629" t="s">
        <v>60</v>
      </c>
      <c r="C103" s="1134"/>
      <c r="D103" s="631"/>
      <c r="E103" s="632"/>
      <c r="F103" s="633"/>
    </row>
    <row r="104" spans="1:6" x14ac:dyDescent="0.2">
      <c r="A104" s="1505"/>
      <c r="B104" s="629" t="s">
        <v>67</v>
      </c>
      <c r="C104" s="1132"/>
      <c r="D104" s="631"/>
      <c r="E104" s="632"/>
      <c r="F104" s="633"/>
    </row>
    <row r="105" spans="1:6" ht="13.5" thickBot="1" x14ac:dyDescent="0.25">
      <c r="A105" s="1506"/>
      <c r="B105" s="635" t="s">
        <v>11</v>
      </c>
      <c r="C105" s="650">
        <f>SUM(C97:C104)</f>
        <v>99993938</v>
      </c>
      <c r="D105" s="644">
        <f>SUM(D97:D104)</f>
        <v>114993937</v>
      </c>
      <c r="E105" s="644">
        <f>SUM(E97:E104)</f>
        <v>49537014</v>
      </c>
      <c r="F105" s="645"/>
    </row>
    <row r="106" spans="1:6" ht="24" x14ac:dyDescent="0.2">
      <c r="A106" s="1504" t="s">
        <v>574</v>
      </c>
      <c r="B106" s="658" t="s">
        <v>53</v>
      </c>
      <c r="C106" s="666"/>
      <c r="D106" s="970"/>
      <c r="E106" s="970"/>
      <c r="F106" s="972"/>
    </row>
    <row r="107" spans="1:6" ht="36" x14ac:dyDescent="0.2">
      <c r="A107" s="1505"/>
      <c r="B107" s="646" t="s">
        <v>58</v>
      </c>
      <c r="C107" s="668"/>
      <c r="D107" s="971"/>
      <c r="E107" s="971"/>
      <c r="F107" s="973"/>
    </row>
    <row r="108" spans="1:6" x14ac:dyDescent="0.2">
      <c r="A108" s="1505"/>
      <c r="B108" s="646" t="s">
        <v>71</v>
      </c>
      <c r="C108" s="668"/>
      <c r="D108" s="971"/>
      <c r="E108" s="971"/>
      <c r="F108" s="973"/>
    </row>
    <row r="109" spans="1:6" x14ac:dyDescent="0.2">
      <c r="A109" s="1505"/>
      <c r="B109" s="646" t="s">
        <v>51</v>
      </c>
      <c r="C109" s="668"/>
      <c r="D109" s="971"/>
      <c r="E109" s="971"/>
      <c r="F109" s="973"/>
    </row>
    <row r="110" spans="1:6" x14ac:dyDescent="0.2">
      <c r="A110" s="1505"/>
      <c r="B110" s="646" t="s">
        <v>72</v>
      </c>
      <c r="C110" s="668"/>
      <c r="D110" s="971"/>
      <c r="E110" s="971"/>
      <c r="F110" s="973"/>
    </row>
    <row r="111" spans="1:6" ht="24" x14ac:dyDescent="0.2">
      <c r="A111" s="1505"/>
      <c r="B111" s="646" t="s">
        <v>69</v>
      </c>
      <c r="C111" s="668"/>
      <c r="D111" s="971"/>
      <c r="E111" s="971"/>
      <c r="F111" s="973"/>
    </row>
    <row r="112" spans="1:6" ht="24" x14ac:dyDescent="0.2">
      <c r="A112" s="1505"/>
      <c r="B112" s="646" t="s">
        <v>60</v>
      </c>
      <c r="C112" s="668"/>
      <c r="D112" s="971"/>
      <c r="E112" s="971"/>
      <c r="F112" s="973"/>
    </row>
    <row r="113" spans="1:6" x14ac:dyDescent="0.2">
      <c r="A113" s="1505"/>
      <c r="B113" s="646" t="s">
        <v>67</v>
      </c>
      <c r="C113" s="668">
        <v>2195461</v>
      </c>
      <c r="D113" s="971">
        <v>2195461</v>
      </c>
      <c r="E113" s="971"/>
      <c r="F113" s="973"/>
    </row>
    <row r="114" spans="1:6" ht="13.5" thickBot="1" x14ac:dyDescent="0.25">
      <c r="A114" s="1506"/>
      <c r="B114" s="649" t="s">
        <v>11</v>
      </c>
      <c r="C114" s="651">
        <f>SUM(C106:C113)</f>
        <v>2195461</v>
      </c>
      <c r="D114" s="651">
        <f>SUM(D106:D113)</f>
        <v>2195461</v>
      </c>
      <c r="E114" s="637"/>
      <c r="F114" s="638"/>
    </row>
    <row r="115" spans="1:6" ht="24" x14ac:dyDescent="0.2">
      <c r="A115" s="1504" t="s">
        <v>537</v>
      </c>
      <c r="B115" s="624" t="s">
        <v>53</v>
      </c>
      <c r="C115" s="835"/>
      <c r="D115" s="1135"/>
      <c r="E115" s="824"/>
      <c r="F115" s="1136"/>
    </row>
    <row r="116" spans="1:6" ht="36" x14ac:dyDescent="0.2">
      <c r="A116" s="1505"/>
      <c r="B116" s="629" t="s">
        <v>58</v>
      </c>
      <c r="C116" s="975">
        <v>1390854858</v>
      </c>
      <c r="D116" s="971">
        <v>1182324220</v>
      </c>
      <c r="E116" s="973">
        <v>415460981</v>
      </c>
      <c r="F116" s="976">
        <f>E116/D116%</f>
        <v>35.139344519221645</v>
      </c>
    </row>
    <row r="117" spans="1:6" x14ac:dyDescent="0.2">
      <c r="A117" s="1505"/>
      <c r="B117" s="629" t="s">
        <v>71</v>
      </c>
      <c r="C117" s="975"/>
      <c r="D117" s="971"/>
      <c r="E117" s="973"/>
      <c r="F117" s="976"/>
    </row>
    <row r="118" spans="1:6" x14ac:dyDescent="0.2">
      <c r="A118" s="1505"/>
      <c r="B118" s="629" t="s">
        <v>51</v>
      </c>
      <c r="C118" s="975"/>
      <c r="D118" s="971">
        <v>14489684</v>
      </c>
      <c r="E118" s="1267">
        <v>14489684</v>
      </c>
      <c r="F118" s="976">
        <f>E118/D118%</f>
        <v>100</v>
      </c>
    </row>
    <row r="119" spans="1:6" x14ac:dyDescent="0.2">
      <c r="A119" s="1505"/>
      <c r="B119" s="629" t="s">
        <v>72</v>
      </c>
      <c r="C119" s="975"/>
      <c r="D119" s="971"/>
      <c r="E119" s="973"/>
      <c r="F119" s="976"/>
    </row>
    <row r="120" spans="1:6" ht="24" x14ac:dyDescent="0.2">
      <c r="A120" s="1505"/>
      <c r="B120" s="629" t="s">
        <v>69</v>
      </c>
      <c r="C120" s="975"/>
      <c r="D120" s="971"/>
      <c r="E120" s="973"/>
      <c r="F120" s="976"/>
    </row>
    <row r="121" spans="1:6" ht="24" x14ac:dyDescent="0.2">
      <c r="A121" s="1505"/>
      <c r="B121" s="629" t="s">
        <v>60</v>
      </c>
      <c r="C121" s="975"/>
      <c r="D121" s="971"/>
      <c r="E121" s="973"/>
      <c r="F121" s="976"/>
    </row>
    <row r="122" spans="1:6" ht="13.5" thickBot="1" x14ac:dyDescent="0.25">
      <c r="A122" s="1505"/>
      <c r="B122" s="629" t="s">
        <v>67</v>
      </c>
      <c r="C122" s="977"/>
      <c r="D122" s="978"/>
      <c r="E122" s="979"/>
      <c r="F122" s="980"/>
    </row>
    <row r="123" spans="1:6" ht="13.5" thickBot="1" x14ac:dyDescent="0.25">
      <c r="A123" s="1506"/>
      <c r="B123" s="635" t="s">
        <v>11</v>
      </c>
      <c r="C123" s="835">
        <f>SUM(C115:C122)</f>
        <v>1390854858</v>
      </c>
      <c r="D123" s="835">
        <f t="shared" ref="D123:E123" si="3">SUM(D115:D122)</f>
        <v>1196813904</v>
      </c>
      <c r="E123" s="974">
        <f t="shared" si="3"/>
        <v>429950665</v>
      </c>
      <c r="F123" s="827">
        <f>E123/D123%</f>
        <v>35.924604783000582</v>
      </c>
    </row>
    <row r="124" spans="1:6" ht="16.5" thickBot="1" x14ac:dyDescent="0.3">
      <c r="A124" s="619" t="s">
        <v>73</v>
      </c>
      <c r="B124" s="620" t="s">
        <v>151</v>
      </c>
      <c r="C124" s="621" t="s">
        <v>147</v>
      </c>
      <c r="D124" s="622" t="s">
        <v>152</v>
      </c>
      <c r="E124" s="622" t="s">
        <v>149</v>
      </c>
      <c r="F124" s="623" t="s">
        <v>150</v>
      </c>
    </row>
    <row r="125" spans="1:6" ht="24" x14ac:dyDescent="0.2">
      <c r="A125" s="1504" t="s">
        <v>608</v>
      </c>
      <c r="B125" s="658" t="s">
        <v>53</v>
      </c>
      <c r="C125" s="666"/>
      <c r="D125" s="627">
        <v>2984490</v>
      </c>
      <c r="E125" s="627">
        <v>2984490</v>
      </c>
      <c r="F125" s="667">
        <f>SUM(E125/D125*100)</f>
        <v>100</v>
      </c>
    </row>
    <row r="126" spans="1:6" ht="36" x14ac:dyDescent="0.2">
      <c r="A126" s="1505"/>
      <c r="B126" s="646" t="s">
        <v>58</v>
      </c>
      <c r="C126" s="668"/>
      <c r="D126" s="632"/>
      <c r="E126" s="632"/>
      <c r="F126" s="669"/>
    </row>
    <row r="127" spans="1:6" x14ac:dyDescent="0.2">
      <c r="A127" s="1505"/>
      <c r="B127" s="646" t="s">
        <v>71</v>
      </c>
      <c r="C127" s="668"/>
      <c r="D127" s="632"/>
      <c r="E127" s="632"/>
      <c r="F127" s="669"/>
    </row>
    <row r="128" spans="1:6" x14ac:dyDescent="0.2">
      <c r="A128" s="1505"/>
      <c r="B128" s="646" t="s">
        <v>51</v>
      </c>
      <c r="C128" s="668"/>
      <c r="D128" s="632"/>
      <c r="E128" s="632"/>
      <c r="F128" s="669"/>
    </row>
    <row r="129" spans="1:6" x14ac:dyDescent="0.2">
      <c r="A129" s="1505"/>
      <c r="B129" s="646" t="s">
        <v>72</v>
      </c>
      <c r="C129" s="668"/>
      <c r="D129" s="632"/>
      <c r="E129" s="632"/>
      <c r="F129" s="669"/>
    </row>
    <row r="130" spans="1:6" ht="24" x14ac:dyDescent="0.2">
      <c r="A130" s="1505"/>
      <c r="B130" s="646" t="s">
        <v>69</v>
      </c>
      <c r="C130" s="668"/>
      <c r="D130" s="632"/>
      <c r="E130" s="632"/>
      <c r="F130" s="669"/>
    </row>
    <row r="131" spans="1:6" ht="24" x14ac:dyDescent="0.2">
      <c r="A131" s="1505"/>
      <c r="B131" s="646" t="s">
        <v>60</v>
      </c>
      <c r="C131" s="668"/>
      <c r="D131" s="632"/>
      <c r="E131" s="632"/>
      <c r="F131" s="669"/>
    </row>
    <row r="132" spans="1:6" x14ac:dyDescent="0.2">
      <c r="A132" s="1505"/>
      <c r="B132" s="646" t="s">
        <v>67</v>
      </c>
      <c r="C132" s="668"/>
      <c r="D132" s="632"/>
      <c r="E132" s="632"/>
      <c r="F132" s="669"/>
    </row>
    <row r="133" spans="1:6" ht="13.5" thickBot="1" x14ac:dyDescent="0.25">
      <c r="A133" s="1506"/>
      <c r="B133" s="659" t="s">
        <v>11</v>
      </c>
      <c r="C133" s="650">
        <f>SUM(C125:C132)</f>
        <v>0</v>
      </c>
      <c r="D133" s="1130">
        <f>SUM(D125:D132)</f>
        <v>2984490</v>
      </c>
      <c r="E133" s="1130">
        <f>SUM(E125:E132)</f>
        <v>2984490</v>
      </c>
      <c r="F133" s="645">
        <f>SUM(E133/D133*100)</f>
        <v>100</v>
      </c>
    </row>
    <row r="134" spans="1:6" ht="24" x14ac:dyDescent="0.2">
      <c r="A134" s="1504" t="s">
        <v>476</v>
      </c>
      <c r="B134" s="658" t="s">
        <v>53</v>
      </c>
      <c r="C134" s="666">
        <v>1180000</v>
      </c>
      <c r="D134" s="627">
        <v>2869390</v>
      </c>
      <c r="E134" s="627">
        <v>3095836</v>
      </c>
      <c r="F134" s="667">
        <f>SUM(E134/D134*100)</f>
        <v>107.89178187698431</v>
      </c>
    </row>
    <row r="135" spans="1:6" ht="36" x14ac:dyDescent="0.2">
      <c r="A135" s="1505"/>
      <c r="B135" s="646" t="s">
        <v>58</v>
      </c>
      <c r="C135" s="668"/>
      <c r="D135" s="632"/>
      <c r="E135" s="632">
        <v>682319</v>
      </c>
      <c r="F135" s="669"/>
    </row>
    <row r="136" spans="1:6" x14ac:dyDescent="0.2">
      <c r="A136" s="1505"/>
      <c r="B136" s="646" t="s">
        <v>71</v>
      </c>
      <c r="C136" s="668"/>
      <c r="D136" s="632"/>
      <c r="E136" s="632"/>
      <c r="F136" s="669"/>
    </row>
    <row r="137" spans="1:6" x14ac:dyDescent="0.2">
      <c r="A137" s="1505"/>
      <c r="B137" s="646" t="s">
        <v>51</v>
      </c>
      <c r="C137" s="668"/>
      <c r="D137" s="632">
        <v>126769</v>
      </c>
      <c r="E137" s="632">
        <v>68673</v>
      </c>
      <c r="F137" s="669">
        <f t="shared" ref="F137" si="4">SUM(E137/D137*100)</f>
        <v>54.171761235002251</v>
      </c>
    </row>
    <row r="138" spans="1:6" x14ac:dyDescent="0.2">
      <c r="A138" s="1505"/>
      <c r="B138" s="646" t="s">
        <v>72</v>
      </c>
      <c r="C138" s="668"/>
      <c r="D138" s="632"/>
      <c r="E138" s="632"/>
      <c r="F138" s="669"/>
    </row>
    <row r="139" spans="1:6" ht="24" x14ac:dyDescent="0.2">
      <c r="A139" s="1505"/>
      <c r="B139" s="646" t="s">
        <v>69</v>
      </c>
      <c r="C139" s="668"/>
      <c r="D139" s="632"/>
      <c r="E139" s="632"/>
      <c r="F139" s="669"/>
    </row>
    <row r="140" spans="1:6" ht="24" x14ac:dyDescent="0.2">
      <c r="A140" s="1505"/>
      <c r="B140" s="646" t="s">
        <v>60</v>
      </c>
      <c r="C140" s="668"/>
      <c r="D140" s="632"/>
      <c r="E140" s="632"/>
      <c r="F140" s="669"/>
    </row>
    <row r="141" spans="1:6" x14ac:dyDescent="0.2">
      <c r="A141" s="1505"/>
      <c r="B141" s="646" t="s">
        <v>67</v>
      </c>
      <c r="C141" s="668"/>
      <c r="D141" s="632"/>
      <c r="E141" s="632"/>
      <c r="F141" s="669"/>
    </row>
    <row r="142" spans="1:6" ht="13.5" thickBot="1" x14ac:dyDescent="0.25">
      <c r="A142" s="1506"/>
      <c r="B142" s="659" t="s">
        <v>11</v>
      </c>
      <c r="C142" s="650">
        <f>SUM(C134:C141)</f>
        <v>1180000</v>
      </c>
      <c r="D142" s="1130">
        <f>SUM(D134:D141)</f>
        <v>2996159</v>
      </c>
      <c r="E142" s="1130">
        <f>SUM(E134:E141)</f>
        <v>3846828</v>
      </c>
      <c r="F142" s="645">
        <f>SUM(E142/D142*100)</f>
        <v>128.39198453753622</v>
      </c>
    </row>
    <row r="143" spans="1:6" ht="24" x14ac:dyDescent="0.2">
      <c r="A143" s="1504" t="s">
        <v>106</v>
      </c>
      <c r="B143" s="660" t="s">
        <v>53</v>
      </c>
      <c r="C143" s="1131"/>
      <c r="D143" s="626"/>
      <c r="E143" s="627"/>
      <c r="F143" s="667"/>
    </row>
    <row r="144" spans="1:6" ht="36" x14ac:dyDescent="0.2">
      <c r="A144" s="1505"/>
      <c r="B144" s="646" t="s">
        <v>58</v>
      </c>
      <c r="C144" s="1132"/>
      <c r="D144" s="631"/>
      <c r="E144" s="632"/>
      <c r="F144" s="669"/>
    </row>
    <row r="145" spans="1:6" x14ac:dyDescent="0.2">
      <c r="A145" s="1505"/>
      <c r="B145" s="646" t="s">
        <v>71</v>
      </c>
      <c r="C145" s="1132"/>
      <c r="D145" s="631"/>
      <c r="E145" s="632"/>
      <c r="F145" s="669"/>
    </row>
    <row r="146" spans="1:6" x14ac:dyDescent="0.2">
      <c r="A146" s="1505"/>
      <c r="B146" s="646" t="s">
        <v>51</v>
      </c>
      <c r="C146" s="1132">
        <v>1540000</v>
      </c>
      <c r="D146" s="631">
        <v>1540000</v>
      </c>
      <c r="E146" s="632">
        <v>681485</v>
      </c>
      <c r="F146" s="669">
        <f>SUM(E146/D146*100)</f>
        <v>44.252272727272732</v>
      </c>
    </row>
    <row r="147" spans="1:6" x14ac:dyDescent="0.2">
      <c r="A147" s="1505"/>
      <c r="B147" s="646" t="s">
        <v>72</v>
      </c>
      <c r="C147" s="1132"/>
      <c r="D147" s="631"/>
      <c r="E147" s="632">
        <v>3149</v>
      </c>
      <c r="F147" s="669"/>
    </row>
    <row r="148" spans="1:6" ht="24" x14ac:dyDescent="0.2">
      <c r="A148" s="1505"/>
      <c r="B148" s="646" t="s">
        <v>69</v>
      </c>
      <c r="C148" s="1132"/>
      <c r="D148" s="631"/>
      <c r="E148" s="632"/>
      <c r="F148" s="669"/>
    </row>
    <row r="149" spans="1:6" ht="24" x14ac:dyDescent="0.2">
      <c r="A149" s="1505"/>
      <c r="B149" s="646" t="s">
        <v>60</v>
      </c>
      <c r="C149" s="1134"/>
      <c r="D149" s="631"/>
      <c r="E149" s="632"/>
      <c r="F149" s="669"/>
    </row>
    <row r="150" spans="1:6" x14ac:dyDescent="0.2">
      <c r="A150" s="1505"/>
      <c r="B150" s="646" t="s">
        <v>67</v>
      </c>
      <c r="C150" s="1132"/>
      <c r="D150" s="631">
        <v>201060</v>
      </c>
      <c r="E150" s="632"/>
      <c r="F150" s="669"/>
    </row>
    <row r="151" spans="1:6" ht="13.5" thickBot="1" x14ac:dyDescent="0.25">
      <c r="A151" s="1506"/>
      <c r="B151" s="1137" t="s">
        <v>11</v>
      </c>
      <c r="C151" s="651">
        <f>SUM(C143:C150)</f>
        <v>1540000</v>
      </c>
      <c r="D151" s="637">
        <f>SUM(D143:D150)</f>
        <v>1741060</v>
      </c>
      <c r="E151" s="637">
        <f>SUM(E143:E150)</f>
        <v>684634</v>
      </c>
      <c r="F151" s="638">
        <f>SUM(E151/D151*100)</f>
        <v>39.322826324193308</v>
      </c>
    </row>
    <row r="152" spans="1:6" ht="24.75" thickBot="1" x14ac:dyDescent="0.25">
      <c r="A152" s="1504" t="s">
        <v>107</v>
      </c>
      <c r="B152" s="624" t="s">
        <v>53</v>
      </c>
      <c r="C152" s="653"/>
      <c r="D152" s="654"/>
      <c r="E152" s="655"/>
      <c r="F152" s="825"/>
    </row>
    <row r="153" spans="1:6" ht="36.75" thickBot="1" x14ac:dyDescent="0.25">
      <c r="A153" s="1505"/>
      <c r="B153" s="629" t="s">
        <v>58</v>
      </c>
      <c r="C153" s="630"/>
      <c r="D153" s="631"/>
      <c r="E153" s="632"/>
      <c r="F153" s="667"/>
    </row>
    <row r="154" spans="1:6" ht="13.5" thickBot="1" x14ac:dyDescent="0.25">
      <c r="A154" s="1505"/>
      <c r="B154" s="629" t="s">
        <v>71</v>
      </c>
      <c r="C154" s="630"/>
      <c r="D154" s="631"/>
      <c r="E154" s="632"/>
      <c r="F154" s="667"/>
    </row>
    <row r="155" spans="1:6" ht="13.5" thickBot="1" x14ac:dyDescent="0.25">
      <c r="A155" s="1505"/>
      <c r="B155" s="629" t="s">
        <v>51</v>
      </c>
      <c r="C155" s="630"/>
      <c r="D155" s="631"/>
      <c r="E155" s="632">
        <v>256</v>
      </c>
      <c r="F155" s="667"/>
    </row>
    <row r="156" spans="1:6" ht="13.5" thickBot="1" x14ac:dyDescent="0.25">
      <c r="A156" s="1505"/>
      <c r="B156" s="629" t="s">
        <v>72</v>
      </c>
      <c r="C156" s="630"/>
      <c r="D156" s="631"/>
      <c r="E156" s="632"/>
      <c r="F156" s="667"/>
    </row>
    <row r="157" spans="1:6" ht="24.75" thickBot="1" x14ac:dyDescent="0.25">
      <c r="A157" s="1505"/>
      <c r="B157" s="629" t="s">
        <v>69</v>
      </c>
      <c r="C157" s="630"/>
      <c r="D157" s="631"/>
      <c r="E157" s="632"/>
      <c r="F157" s="667"/>
    </row>
    <row r="158" spans="1:6" ht="24.75" thickBot="1" x14ac:dyDescent="0.25">
      <c r="A158" s="1505"/>
      <c r="B158" s="629" t="s">
        <v>60</v>
      </c>
      <c r="C158" s="634"/>
      <c r="D158" s="631"/>
      <c r="E158" s="632"/>
      <c r="F158" s="667"/>
    </row>
    <row r="159" spans="1:6" x14ac:dyDescent="0.2">
      <c r="A159" s="1505"/>
      <c r="B159" s="629" t="s">
        <v>67</v>
      </c>
      <c r="C159" s="630"/>
      <c r="D159" s="631"/>
      <c r="E159" s="632"/>
      <c r="F159" s="667"/>
    </row>
    <row r="160" spans="1:6" ht="13.5" thickBot="1" x14ac:dyDescent="0.25">
      <c r="A160" s="1506"/>
      <c r="B160" s="635" t="s">
        <v>11</v>
      </c>
      <c r="C160" s="636">
        <f>SUM(C152:C159)</f>
        <v>0</v>
      </c>
      <c r="D160" s="637">
        <f>SUM(D152:D159)</f>
        <v>0</v>
      </c>
      <c r="E160" s="637">
        <f>SUM(E152:E159)</f>
        <v>256</v>
      </c>
      <c r="F160" s="638"/>
    </row>
    <row r="161" spans="1:6" ht="24" x14ac:dyDescent="0.2">
      <c r="A161" s="1504" t="s">
        <v>165</v>
      </c>
      <c r="B161" s="624" t="s">
        <v>53</v>
      </c>
      <c r="C161" s="653"/>
      <c r="D161" s="654">
        <v>14569700</v>
      </c>
      <c r="E161" s="655">
        <v>14569700</v>
      </c>
      <c r="F161" s="825">
        <f>SUM(E161/D161*100)</f>
        <v>100</v>
      </c>
    </row>
    <row r="162" spans="1:6" ht="36" x14ac:dyDescent="0.2">
      <c r="A162" s="1505"/>
      <c r="B162" s="629" t="s">
        <v>58</v>
      </c>
      <c r="C162" s="630"/>
      <c r="D162" s="631"/>
      <c r="E162" s="632"/>
      <c r="F162" s="825"/>
    </row>
    <row r="163" spans="1:6" x14ac:dyDescent="0.2">
      <c r="A163" s="1505"/>
      <c r="B163" s="629" t="s">
        <v>71</v>
      </c>
      <c r="C163" s="630"/>
      <c r="D163" s="631"/>
      <c r="E163" s="632"/>
      <c r="F163" s="825"/>
    </row>
    <row r="164" spans="1:6" ht="13.5" thickBot="1" x14ac:dyDescent="0.25">
      <c r="A164" s="1505"/>
      <c r="B164" s="629" t="s">
        <v>51</v>
      </c>
      <c r="C164" s="630">
        <v>770000</v>
      </c>
      <c r="D164" s="631">
        <v>770000</v>
      </c>
      <c r="E164" s="632">
        <v>355263</v>
      </c>
      <c r="F164" s="825">
        <f t="shared" ref="F164" si="5">SUM(E164/D164*100)</f>
        <v>46.138051948051952</v>
      </c>
    </row>
    <row r="165" spans="1:6" ht="13.5" thickBot="1" x14ac:dyDescent="0.25">
      <c r="A165" s="1505"/>
      <c r="B165" s="629" t="s">
        <v>72</v>
      </c>
      <c r="C165" s="630"/>
      <c r="D165" s="631"/>
      <c r="E165" s="632">
        <v>2620</v>
      </c>
      <c r="F165" s="667"/>
    </row>
    <row r="166" spans="1:6" ht="24.75" thickBot="1" x14ac:dyDescent="0.25">
      <c r="A166" s="1505"/>
      <c r="B166" s="629" t="s">
        <v>69</v>
      </c>
      <c r="C166" s="630"/>
      <c r="D166" s="631"/>
      <c r="E166" s="632"/>
      <c r="F166" s="667"/>
    </row>
    <row r="167" spans="1:6" ht="24.75" thickBot="1" x14ac:dyDescent="0.25">
      <c r="A167" s="1505"/>
      <c r="B167" s="629" t="s">
        <v>60</v>
      </c>
      <c r="C167" s="634"/>
      <c r="D167" s="631"/>
      <c r="E167" s="632"/>
      <c r="F167" s="667"/>
    </row>
    <row r="168" spans="1:6" x14ac:dyDescent="0.2">
      <c r="A168" s="1505"/>
      <c r="B168" s="629" t="s">
        <v>67</v>
      </c>
      <c r="C168" s="630"/>
      <c r="D168" s="631"/>
      <c r="E168" s="632"/>
      <c r="F168" s="667"/>
    </row>
    <row r="169" spans="1:6" ht="13.5" thickBot="1" x14ac:dyDescent="0.25">
      <c r="A169" s="1506"/>
      <c r="B169" s="635" t="s">
        <v>11</v>
      </c>
      <c r="C169" s="636">
        <f>SUM(C161:C168)</f>
        <v>770000</v>
      </c>
      <c r="D169" s="637">
        <f>SUM(D161:D168)</f>
        <v>15339700</v>
      </c>
      <c r="E169" s="637">
        <f>SUM(E161:E168)</f>
        <v>14927583</v>
      </c>
      <c r="F169" s="638">
        <f>E169/D169*100</f>
        <v>97.313395959503765</v>
      </c>
    </row>
    <row r="170" spans="1:6" ht="16.5" thickBot="1" x14ac:dyDescent="0.3">
      <c r="A170" s="661" t="s">
        <v>73</v>
      </c>
      <c r="B170" s="662" t="s">
        <v>151</v>
      </c>
      <c r="C170" s="663" t="s">
        <v>147</v>
      </c>
      <c r="D170" s="664" t="s">
        <v>152</v>
      </c>
      <c r="E170" s="664" t="s">
        <v>149</v>
      </c>
      <c r="F170" s="665" t="s">
        <v>150</v>
      </c>
    </row>
    <row r="171" spans="1:6" ht="24.75" thickBot="1" x14ac:dyDescent="0.25">
      <c r="A171" s="1504" t="s">
        <v>538</v>
      </c>
      <c r="B171" s="624" t="s">
        <v>53</v>
      </c>
      <c r="C171" s="625">
        <v>62400</v>
      </c>
      <c r="D171" s="626">
        <v>62400</v>
      </c>
      <c r="E171" s="627"/>
      <c r="F171" s="667">
        <f>SUM(E171/D171*100)</f>
        <v>0</v>
      </c>
    </row>
    <row r="172" spans="1:6" ht="36.75" thickBot="1" x14ac:dyDescent="0.25">
      <c r="A172" s="1505"/>
      <c r="B172" s="629" t="s">
        <v>58</v>
      </c>
      <c r="C172" s="630"/>
      <c r="D172" s="631"/>
      <c r="E172" s="632"/>
      <c r="F172" s="667"/>
    </row>
    <row r="173" spans="1:6" ht="13.5" thickBot="1" x14ac:dyDescent="0.25">
      <c r="A173" s="1505"/>
      <c r="B173" s="629" t="s">
        <v>71</v>
      </c>
      <c r="C173" s="630"/>
      <c r="D173" s="631"/>
      <c r="E173" s="632"/>
      <c r="F173" s="667"/>
    </row>
    <row r="174" spans="1:6" ht="13.5" thickBot="1" x14ac:dyDescent="0.25">
      <c r="A174" s="1505"/>
      <c r="B174" s="629" t="s">
        <v>51</v>
      </c>
      <c r="C174" s="630"/>
      <c r="D174" s="631"/>
      <c r="E174" s="632"/>
      <c r="F174" s="667"/>
    </row>
    <row r="175" spans="1:6" ht="13.5" thickBot="1" x14ac:dyDescent="0.25">
      <c r="A175" s="1505"/>
      <c r="B175" s="629" t="s">
        <v>72</v>
      </c>
      <c r="C175" s="630"/>
      <c r="D175" s="631"/>
      <c r="E175" s="632"/>
      <c r="F175" s="667"/>
    </row>
    <row r="176" spans="1:6" ht="24.75" thickBot="1" x14ac:dyDescent="0.25">
      <c r="A176" s="1505"/>
      <c r="B176" s="629" t="s">
        <v>69</v>
      </c>
      <c r="C176" s="630"/>
      <c r="D176" s="631"/>
      <c r="E176" s="632"/>
      <c r="F176" s="667"/>
    </row>
    <row r="177" spans="1:6" ht="24.75" thickBot="1" x14ac:dyDescent="0.25">
      <c r="A177" s="1505"/>
      <c r="B177" s="629" t="s">
        <v>60</v>
      </c>
      <c r="C177" s="634"/>
      <c r="D177" s="631"/>
      <c r="E177" s="632"/>
      <c r="F177" s="667"/>
    </row>
    <row r="178" spans="1:6" x14ac:dyDescent="0.2">
      <c r="A178" s="1505"/>
      <c r="B178" s="629" t="s">
        <v>67</v>
      </c>
      <c r="C178" s="630"/>
      <c r="D178" s="631"/>
      <c r="E178" s="632"/>
      <c r="F178" s="667"/>
    </row>
    <row r="179" spans="1:6" ht="13.5" thickBot="1" x14ac:dyDescent="0.25">
      <c r="A179" s="1506"/>
      <c r="B179" s="635" t="s">
        <v>11</v>
      </c>
      <c r="C179" s="643">
        <f>SUM(C171:C178)</f>
        <v>62400</v>
      </c>
      <c r="D179" s="644">
        <f>SUM(D171:D178)</f>
        <v>62400</v>
      </c>
      <c r="E179" s="644">
        <f>SUM(E171:E178)</f>
        <v>0</v>
      </c>
      <c r="F179" s="645">
        <f>E179/D179*100</f>
        <v>0</v>
      </c>
    </row>
    <row r="180" spans="1:6" ht="24" x14ac:dyDescent="0.2">
      <c r="A180" s="1504" t="s">
        <v>577</v>
      </c>
      <c r="B180" s="658" t="s">
        <v>53</v>
      </c>
      <c r="C180" s="1131"/>
      <c r="D180" s="626"/>
      <c r="E180" s="627"/>
      <c r="F180" s="667"/>
    </row>
    <row r="181" spans="1:6" ht="36" x14ac:dyDescent="0.2">
      <c r="A181" s="1505"/>
      <c r="B181" s="646" t="s">
        <v>58</v>
      </c>
      <c r="C181" s="1132"/>
      <c r="D181" s="631"/>
      <c r="E181" s="632"/>
      <c r="F181" s="669"/>
    </row>
    <row r="182" spans="1:6" x14ac:dyDescent="0.2">
      <c r="A182" s="1505"/>
      <c r="B182" s="646" t="s">
        <v>71</v>
      </c>
      <c r="C182" s="1132"/>
      <c r="D182" s="631"/>
      <c r="E182" s="632"/>
      <c r="F182" s="669"/>
    </row>
    <row r="183" spans="1:6" x14ac:dyDescent="0.2">
      <c r="A183" s="1505"/>
      <c r="B183" s="646" t="s">
        <v>51</v>
      </c>
      <c r="C183" s="1132"/>
      <c r="D183" s="631"/>
      <c r="E183" s="632"/>
      <c r="F183" s="669"/>
    </row>
    <row r="184" spans="1:6" x14ac:dyDescent="0.2">
      <c r="A184" s="1505"/>
      <c r="B184" s="646" t="s">
        <v>72</v>
      </c>
      <c r="C184" s="1132"/>
      <c r="D184" s="631"/>
      <c r="E184" s="632"/>
      <c r="F184" s="669"/>
    </row>
    <row r="185" spans="1:6" ht="24" x14ac:dyDescent="0.2">
      <c r="A185" s="1505"/>
      <c r="B185" s="646" t="s">
        <v>69</v>
      </c>
      <c r="C185" s="1132"/>
      <c r="D185" s="631"/>
      <c r="E185" s="632"/>
      <c r="F185" s="669"/>
    </row>
    <row r="186" spans="1:6" ht="24" x14ac:dyDescent="0.2">
      <c r="A186" s="1505"/>
      <c r="B186" s="646" t="s">
        <v>60</v>
      </c>
      <c r="C186" s="1134"/>
      <c r="D186" s="631"/>
      <c r="E186" s="632"/>
      <c r="F186" s="669"/>
    </row>
    <row r="187" spans="1:6" x14ac:dyDescent="0.2">
      <c r="A187" s="1505"/>
      <c r="B187" s="646" t="s">
        <v>67</v>
      </c>
      <c r="C187" s="1132">
        <v>1800000</v>
      </c>
      <c r="D187" s="631">
        <v>1800000</v>
      </c>
      <c r="E187" s="632"/>
      <c r="F187" s="669"/>
    </row>
    <row r="188" spans="1:6" ht="13.5" thickBot="1" x14ac:dyDescent="0.25">
      <c r="A188" s="1506"/>
      <c r="B188" s="649" t="s">
        <v>11</v>
      </c>
      <c r="C188" s="651">
        <f>SUM(C180:C187)</f>
        <v>1800000</v>
      </c>
      <c r="D188" s="637">
        <f>SUM(D180:D187)</f>
        <v>1800000</v>
      </c>
      <c r="E188" s="637">
        <f>SUM(E180:E187)</f>
        <v>0</v>
      </c>
      <c r="F188" s="638"/>
    </row>
    <row r="189" spans="1:6" ht="24" x14ac:dyDescent="0.2">
      <c r="A189" s="1504" t="s">
        <v>539</v>
      </c>
      <c r="B189" s="658" t="s">
        <v>53</v>
      </c>
      <c r="C189" s="1131"/>
      <c r="D189" s="626">
        <v>481100</v>
      </c>
      <c r="E189" s="627">
        <v>183600</v>
      </c>
      <c r="F189" s="667"/>
    </row>
    <row r="190" spans="1:6" ht="36" x14ac:dyDescent="0.2">
      <c r="A190" s="1505"/>
      <c r="B190" s="646" t="s">
        <v>58</v>
      </c>
      <c r="C190" s="1132"/>
      <c r="D190" s="631"/>
      <c r="E190" s="632"/>
      <c r="F190" s="669"/>
    </row>
    <row r="191" spans="1:6" x14ac:dyDescent="0.2">
      <c r="A191" s="1505"/>
      <c r="B191" s="646" t="s">
        <v>71</v>
      </c>
      <c r="C191" s="1132"/>
      <c r="D191" s="631"/>
      <c r="E191" s="632"/>
      <c r="F191" s="669"/>
    </row>
    <row r="192" spans="1:6" x14ac:dyDescent="0.2">
      <c r="A192" s="1505"/>
      <c r="B192" s="646" t="s">
        <v>51</v>
      </c>
      <c r="C192" s="1132"/>
      <c r="D192" s="631"/>
      <c r="E192" s="632"/>
      <c r="F192" s="669"/>
    </row>
    <row r="193" spans="1:6" x14ac:dyDescent="0.2">
      <c r="A193" s="1505"/>
      <c r="B193" s="646" t="s">
        <v>72</v>
      </c>
      <c r="C193" s="1132"/>
      <c r="D193" s="631"/>
      <c r="E193" s="632"/>
      <c r="F193" s="669"/>
    </row>
    <row r="194" spans="1:6" ht="24" x14ac:dyDescent="0.2">
      <c r="A194" s="1505"/>
      <c r="B194" s="646" t="s">
        <v>69</v>
      </c>
      <c r="C194" s="1132"/>
      <c r="D194" s="631"/>
      <c r="E194" s="632"/>
      <c r="F194" s="669"/>
    </row>
    <row r="195" spans="1:6" ht="24" x14ac:dyDescent="0.2">
      <c r="A195" s="1505"/>
      <c r="B195" s="646" t="s">
        <v>60</v>
      </c>
      <c r="C195" s="1134"/>
      <c r="D195" s="631"/>
      <c r="E195" s="632"/>
      <c r="F195" s="669"/>
    </row>
    <row r="196" spans="1:6" x14ac:dyDescent="0.2">
      <c r="A196" s="1505"/>
      <c r="B196" s="646" t="s">
        <v>67</v>
      </c>
      <c r="C196" s="1132"/>
      <c r="D196" s="631"/>
      <c r="E196" s="632"/>
      <c r="F196" s="669"/>
    </row>
    <row r="197" spans="1:6" ht="13.5" thickBot="1" x14ac:dyDescent="0.25">
      <c r="A197" s="1506"/>
      <c r="B197" s="649" t="s">
        <v>11</v>
      </c>
      <c r="C197" s="651">
        <f>SUM(C189:C196)</f>
        <v>0</v>
      </c>
      <c r="D197" s="637">
        <f>SUM(D189:D196)</f>
        <v>481100</v>
      </c>
      <c r="E197" s="637">
        <f>SUM(E189:E196)</f>
        <v>183600</v>
      </c>
      <c r="F197" s="638"/>
    </row>
    <row r="198" spans="1:6" ht="24" x14ac:dyDescent="0.2">
      <c r="A198" s="1504" t="s">
        <v>575</v>
      </c>
      <c r="B198" s="642" t="s">
        <v>53</v>
      </c>
      <c r="C198" s="653"/>
      <c r="D198" s="654"/>
      <c r="E198" s="655"/>
      <c r="F198" s="656"/>
    </row>
    <row r="199" spans="1:6" ht="36" x14ac:dyDescent="0.2">
      <c r="A199" s="1505"/>
      <c r="B199" s="629" t="s">
        <v>58</v>
      </c>
      <c r="C199" s="630"/>
      <c r="D199" s="631"/>
      <c r="E199" s="632"/>
      <c r="F199" s="633"/>
    </row>
    <row r="200" spans="1:6" x14ac:dyDescent="0.2">
      <c r="A200" s="1505"/>
      <c r="B200" s="629" t="s">
        <v>71</v>
      </c>
      <c r="C200" s="630"/>
      <c r="D200" s="631"/>
      <c r="E200" s="632"/>
      <c r="F200" s="633"/>
    </row>
    <row r="201" spans="1:6" x14ac:dyDescent="0.2">
      <c r="A201" s="1505"/>
      <c r="B201" s="629" t="s">
        <v>51</v>
      </c>
      <c r="C201" s="630"/>
      <c r="D201" s="631"/>
      <c r="E201" s="632"/>
      <c r="F201" s="633"/>
    </row>
    <row r="202" spans="1:6" x14ac:dyDescent="0.2">
      <c r="A202" s="1505"/>
      <c r="B202" s="629" t="s">
        <v>72</v>
      </c>
      <c r="C202" s="630"/>
      <c r="D202" s="631"/>
      <c r="E202" s="632"/>
      <c r="F202" s="633"/>
    </row>
    <row r="203" spans="1:6" ht="24" x14ac:dyDescent="0.2">
      <c r="A203" s="1505"/>
      <c r="B203" s="629" t="s">
        <v>69</v>
      </c>
      <c r="C203" s="630"/>
      <c r="D203" s="631"/>
      <c r="E203" s="632"/>
      <c r="F203" s="633"/>
    </row>
    <row r="204" spans="1:6" ht="24" x14ac:dyDescent="0.2">
      <c r="A204" s="1505"/>
      <c r="B204" s="629" t="s">
        <v>60</v>
      </c>
      <c r="C204" s="634"/>
      <c r="D204" s="631"/>
      <c r="E204" s="632"/>
      <c r="F204" s="633"/>
    </row>
    <row r="205" spans="1:6" x14ac:dyDescent="0.2">
      <c r="A205" s="1505"/>
      <c r="B205" s="629" t="s">
        <v>67</v>
      </c>
      <c r="C205" s="630">
        <v>500000</v>
      </c>
      <c r="D205" s="631">
        <v>760000</v>
      </c>
      <c r="E205" s="632"/>
      <c r="F205" s="633"/>
    </row>
    <row r="206" spans="1:6" ht="13.5" thickBot="1" x14ac:dyDescent="0.25">
      <c r="A206" s="1506"/>
      <c r="B206" s="635" t="s">
        <v>11</v>
      </c>
      <c r="C206" s="643">
        <f>SUM(C198:C205)</f>
        <v>500000</v>
      </c>
      <c r="D206" s="644">
        <f>SUM(D198:D205)</f>
        <v>760000</v>
      </c>
      <c r="E206" s="644">
        <f>SUM(E198:E205)</f>
        <v>0</v>
      </c>
      <c r="F206" s="645"/>
    </row>
    <row r="207" spans="1:6" ht="24" x14ac:dyDescent="0.2">
      <c r="A207" s="1504" t="s">
        <v>609</v>
      </c>
      <c r="B207" s="629" t="s">
        <v>53</v>
      </c>
      <c r="C207" s="625"/>
      <c r="D207" s="626">
        <v>650000</v>
      </c>
      <c r="E207" s="627">
        <v>650000</v>
      </c>
      <c r="F207" s="628">
        <f>E207/D207*100</f>
        <v>100</v>
      </c>
    </row>
    <row r="208" spans="1:6" ht="36" x14ac:dyDescent="0.2">
      <c r="A208" s="1505"/>
      <c r="B208" s="629" t="s">
        <v>58</v>
      </c>
      <c r="C208" s="630"/>
      <c r="D208" s="631"/>
      <c r="E208" s="632"/>
      <c r="F208" s="633"/>
    </row>
    <row r="209" spans="1:6" x14ac:dyDescent="0.2">
      <c r="A209" s="1505"/>
      <c r="B209" s="629" t="s">
        <v>71</v>
      </c>
      <c r="C209" s="630"/>
      <c r="D209" s="631"/>
      <c r="E209" s="632"/>
      <c r="F209" s="633"/>
    </row>
    <row r="210" spans="1:6" x14ac:dyDescent="0.2">
      <c r="A210" s="1505"/>
      <c r="B210" s="629" t="s">
        <v>51</v>
      </c>
      <c r="C210" s="630"/>
      <c r="D210" s="631"/>
      <c r="E210" s="632"/>
      <c r="F210" s="633"/>
    </row>
    <row r="211" spans="1:6" x14ac:dyDescent="0.2">
      <c r="A211" s="1505"/>
      <c r="B211" s="629" t="s">
        <v>72</v>
      </c>
      <c r="C211" s="630"/>
      <c r="D211" s="631"/>
      <c r="E211" s="632"/>
      <c r="F211" s="633"/>
    </row>
    <row r="212" spans="1:6" ht="24" x14ac:dyDescent="0.2">
      <c r="A212" s="1505"/>
      <c r="B212" s="629" t="s">
        <v>69</v>
      </c>
      <c r="C212" s="630"/>
      <c r="D212" s="631"/>
      <c r="E212" s="632"/>
      <c r="F212" s="633"/>
    </row>
    <row r="213" spans="1:6" ht="24" x14ac:dyDescent="0.2">
      <c r="A213" s="1505"/>
      <c r="B213" s="629" t="s">
        <v>60</v>
      </c>
      <c r="C213" s="634"/>
      <c r="D213" s="631"/>
      <c r="E213" s="632"/>
      <c r="F213" s="633"/>
    </row>
    <row r="214" spans="1:6" x14ac:dyDescent="0.2">
      <c r="A214" s="1505"/>
      <c r="B214" s="629" t="s">
        <v>67</v>
      </c>
      <c r="C214" s="630"/>
      <c r="D214" s="631"/>
      <c r="E214" s="632"/>
      <c r="F214" s="633"/>
    </row>
    <row r="215" spans="1:6" ht="13.5" thickBot="1" x14ac:dyDescent="0.25">
      <c r="A215" s="1506"/>
      <c r="B215" s="635" t="s">
        <v>11</v>
      </c>
      <c r="C215" s="636">
        <f>SUM(C207:C214)</f>
        <v>0</v>
      </c>
      <c r="D215" s="637">
        <f>SUM(D207:D214)</f>
        <v>650000</v>
      </c>
      <c r="E215" s="637">
        <f>SUM(E207:E214)</f>
        <v>650000</v>
      </c>
      <c r="F215" s="638">
        <f>E215/D215*100</f>
        <v>100</v>
      </c>
    </row>
    <row r="216" spans="1:6" ht="24" x14ac:dyDescent="0.2">
      <c r="A216" s="1504" t="s">
        <v>610</v>
      </c>
      <c r="B216" s="629" t="s">
        <v>53</v>
      </c>
      <c r="C216" s="625"/>
      <c r="D216" s="626">
        <v>1769451</v>
      </c>
      <c r="E216" s="627"/>
      <c r="F216" s="628">
        <f>E216/D216*100</f>
        <v>0</v>
      </c>
    </row>
    <row r="217" spans="1:6" ht="36" x14ac:dyDescent="0.2">
      <c r="A217" s="1505"/>
      <c r="B217" s="629" t="s">
        <v>58</v>
      </c>
      <c r="C217" s="630"/>
      <c r="D217" s="631"/>
      <c r="E217" s="632"/>
      <c r="F217" s="633"/>
    </row>
    <row r="218" spans="1:6" x14ac:dyDescent="0.2">
      <c r="A218" s="1505"/>
      <c r="B218" s="629" t="s">
        <v>71</v>
      </c>
      <c r="C218" s="630"/>
      <c r="D218" s="631"/>
      <c r="E218" s="632"/>
      <c r="F218" s="633"/>
    </row>
    <row r="219" spans="1:6" x14ac:dyDescent="0.2">
      <c r="A219" s="1505"/>
      <c r="B219" s="629" t="s">
        <v>51</v>
      </c>
      <c r="C219" s="630"/>
      <c r="D219" s="631"/>
      <c r="E219" s="632"/>
      <c r="F219" s="633"/>
    </row>
    <row r="220" spans="1:6" x14ac:dyDescent="0.2">
      <c r="A220" s="1505"/>
      <c r="B220" s="629" t="s">
        <v>72</v>
      </c>
      <c r="C220" s="630"/>
      <c r="D220" s="631"/>
      <c r="E220" s="632"/>
      <c r="F220" s="633"/>
    </row>
    <row r="221" spans="1:6" ht="24" x14ac:dyDescent="0.2">
      <c r="A221" s="1505"/>
      <c r="B221" s="629" t="s">
        <v>69</v>
      </c>
      <c r="C221" s="630"/>
      <c r="D221" s="631"/>
      <c r="E221" s="632"/>
      <c r="F221" s="633"/>
    </row>
    <row r="222" spans="1:6" ht="24" x14ac:dyDescent="0.2">
      <c r="A222" s="1505"/>
      <c r="B222" s="629" t="s">
        <v>60</v>
      </c>
      <c r="C222" s="634"/>
      <c r="D222" s="631"/>
      <c r="E222" s="632"/>
      <c r="F222" s="633"/>
    </row>
    <row r="223" spans="1:6" x14ac:dyDescent="0.2">
      <c r="A223" s="1505"/>
      <c r="B223" s="629" t="s">
        <v>67</v>
      </c>
      <c r="C223" s="630"/>
      <c r="D223" s="631"/>
      <c r="E223" s="632"/>
      <c r="F223" s="633"/>
    </row>
    <row r="224" spans="1:6" ht="13.5" thickBot="1" x14ac:dyDescent="0.25">
      <c r="A224" s="1506"/>
      <c r="B224" s="635" t="s">
        <v>11</v>
      </c>
      <c r="C224" s="636">
        <f>SUM(C216:C223)</f>
        <v>0</v>
      </c>
      <c r="D224" s="637">
        <f>SUM(D216:D223)</f>
        <v>1769451</v>
      </c>
      <c r="E224" s="637">
        <f>SUM(E216:E223)</f>
        <v>0</v>
      </c>
      <c r="F224" s="638">
        <f>E224/D224*100</f>
        <v>0</v>
      </c>
    </row>
    <row r="225" spans="1:6" ht="16.5" thickBot="1" x14ac:dyDescent="0.3">
      <c r="A225" s="661" t="s">
        <v>73</v>
      </c>
      <c r="B225" s="662" t="s">
        <v>151</v>
      </c>
      <c r="C225" s="663" t="s">
        <v>147</v>
      </c>
      <c r="D225" s="664" t="s">
        <v>152</v>
      </c>
      <c r="E225" s="664" t="s">
        <v>149</v>
      </c>
      <c r="F225" s="665" t="s">
        <v>150</v>
      </c>
    </row>
    <row r="226" spans="1:6" ht="24" x14ac:dyDescent="0.2">
      <c r="A226" s="1504" t="s">
        <v>611</v>
      </c>
      <c r="B226" s="624" t="s">
        <v>53</v>
      </c>
      <c r="C226" s="653"/>
      <c r="D226" s="654"/>
      <c r="E226" s="655"/>
      <c r="F226" s="667"/>
    </row>
    <row r="227" spans="1:6" ht="36" x14ac:dyDescent="0.2">
      <c r="A227" s="1505"/>
      <c r="B227" s="629" t="s">
        <v>58</v>
      </c>
      <c r="C227" s="630"/>
      <c r="D227" s="631"/>
      <c r="E227" s="632"/>
      <c r="F227" s="633"/>
    </row>
    <row r="228" spans="1:6" x14ac:dyDescent="0.2">
      <c r="A228" s="1505"/>
      <c r="B228" s="629" t="s">
        <v>71</v>
      </c>
      <c r="C228" s="630"/>
      <c r="D228" s="631"/>
      <c r="E228" s="632"/>
      <c r="F228" s="633"/>
    </row>
    <row r="229" spans="1:6" x14ac:dyDescent="0.2">
      <c r="A229" s="1505"/>
      <c r="B229" s="629" t="s">
        <v>51</v>
      </c>
      <c r="C229" s="630"/>
      <c r="D229" s="631"/>
      <c r="E229" s="632">
        <v>17500</v>
      </c>
      <c r="F229" s="633"/>
    </row>
    <row r="230" spans="1:6" x14ac:dyDescent="0.2">
      <c r="A230" s="1505"/>
      <c r="B230" s="629" t="s">
        <v>72</v>
      </c>
      <c r="C230" s="630"/>
      <c r="D230" s="631"/>
      <c r="E230" s="632"/>
      <c r="F230" s="633"/>
    </row>
    <row r="231" spans="1:6" ht="24" x14ac:dyDescent="0.2">
      <c r="A231" s="1505"/>
      <c r="B231" s="629" t="s">
        <v>69</v>
      </c>
      <c r="C231" s="630"/>
      <c r="D231" s="631"/>
      <c r="E231" s="632"/>
      <c r="F231" s="633"/>
    </row>
    <row r="232" spans="1:6" ht="24" x14ac:dyDescent="0.2">
      <c r="A232" s="1505"/>
      <c r="B232" s="629" t="s">
        <v>60</v>
      </c>
      <c r="C232" s="634"/>
      <c r="D232" s="631"/>
      <c r="E232" s="632"/>
      <c r="F232" s="633"/>
    </row>
    <row r="233" spans="1:6" x14ac:dyDescent="0.2">
      <c r="A233" s="1505"/>
      <c r="B233" s="629" t="s">
        <v>67</v>
      </c>
      <c r="C233" s="630"/>
      <c r="D233" s="631"/>
      <c r="E233" s="632"/>
      <c r="F233" s="633"/>
    </row>
    <row r="234" spans="1:6" ht="13.5" thickBot="1" x14ac:dyDescent="0.25">
      <c r="A234" s="1506"/>
      <c r="B234" s="635" t="s">
        <v>11</v>
      </c>
      <c r="C234" s="636">
        <f>SUM(C226:C233)</f>
        <v>0</v>
      </c>
      <c r="D234" s="637">
        <f>SUM(D226:D233)</f>
        <v>0</v>
      </c>
      <c r="E234" s="637">
        <f>SUM(E226:E233)</f>
        <v>17500</v>
      </c>
      <c r="F234" s="638"/>
    </row>
    <row r="235" spans="1:6" ht="24" x14ac:dyDescent="0.2">
      <c r="A235" s="1504" t="s">
        <v>480</v>
      </c>
      <c r="B235" s="642" t="s">
        <v>53</v>
      </c>
      <c r="C235" s="653"/>
      <c r="D235" s="654"/>
      <c r="E235" s="655"/>
      <c r="F235" s="656"/>
    </row>
    <row r="236" spans="1:6" ht="36" x14ac:dyDescent="0.2">
      <c r="A236" s="1505"/>
      <c r="B236" s="629" t="s">
        <v>58</v>
      </c>
      <c r="C236" s="630"/>
      <c r="D236" s="631"/>
      <c r="E236" s="632"/>
      <c r="F236" s="633"/>
    </row>
    <row r="237" spans="1:6" x14ac:dyDescent="0.2">
      <c r="A237" s="1505"/>
      <c r="B237" s="629" t="s">
        <v>71</v>
      </c>
      <c r="C237" s="630"/>
      <c r="D237" s="631"/>
      <c r="E237" s="632"/>
      <c r="F237" s="633"/>
    </row>
    <row r="238" spans="1:6" x14ac:dyDescent="0.2">
      <c r="A238" s="1505"/>
      <c r="B238" s="629" t="s">
        <v>51</v>
      </c>
      <c r="C238" s="630">
        <v>1540000</v>
      </c>
      <c r="D238" s="631">
        <v>0</v>
      </c>
      <c r="E238" s="632">
        <v>40751</v>
      </c>
      <c r="F238" s="633"/>
    </row>
    <row r="239" spans="1:6" x14ac:dyDescent="0.2">
      <c r="A239" s="1505"/>
      <c r="B239" s="629" t="s">
        <v>72</v>
      </c>
      <c r="C239" s="630"/>
      <c r="D239" s="631"/>
      <c r="E239" s="632"/>
      <c r="F239" s="633"/>
    </row>
    <row r="240" spans="1:6" ht="24" x14ac:dyDescent="0.2">
      <c r="A240" s="1505"/>
      <c r="B240" s="629" t="s">
        <v>69</v>
      </c>
      <c r="C240" s="630"/>
      <c r="D240" s="631"/>
      <c r="E240" s="632"/>
      <c r="F240" s="633"/>
    </row>
    <row r="241" spans="1:6" ht="24" x14ac:dyDescent="0.2">
      <c r="A241" s="1505"/>
      <c r="B241" s="629" t="s">
        <v>60</v>
      </c>
      <c r="C241" s="634"/>
      <c r="D241" s="631"/>
      <c r="E241" s="632"/>
      <c r="F241" s="633"/>
    </row>
    <row r="242" spans="1:6" x14ac:dyDescent="0.2">
      <c r="A242" s="1505"/>
      <c r="B242" s="629" t="s">
        <v>67</v>
      </c>
      <c r="C242" s="630"/>
      <c r="D242" s="631"/>
      <c r="E242" s="632"/>
      <c r="F242" s="633"/>
    </row>
    <row r="243" spans="1:6" ht="13.5" thickBot="1" x14ac:dyDescent="0.25">
      <c r="A243" s="1506"/>
      <c r="B243" s="657" t="s">
        <v>11</v>
      </c>
      <c r="C243" s="643">
        <f>SUM(C235:C242)</f>
        <v>1540000</v>
      </c>
      <c r="D243" s="644">
        <f>SUM(D235:D242)</f>
        <v>0</v>
      </c>
      <c r="E243" s="644">
        <f>SUM(E235:E242)</f>
        <v>40751</v>
      </c>
      <c r="F243" s="645"/>
    </row>
    <row r="244" spans="1:6" ht="24" x14ac:dyDescent="0.2">
      <c r="A244" s="1504" t="s">
        <v>477</v>
      </c>
      <c r="B244" s="624" t="s">
        <v>53</v>
      </c>
      <c r="C244" s="625"/>
      <c r="D244" s="626">
        <v>457419</v>
      </c>
      <c r="E244" s="627"/>
      <c r="F244" s="633"/>
    </row>
    <row r="245" spans="1:6" ht="36" x14ac:dyDescent="0.2">
      <c r="A245" s="1505"/>
      <c r="B245" s="629" t="s">
        <v>58</v>
      </c>
      <c r="C245" s="630"/>
      <c r="D245" s="631">
        <v>682319</v>
      </c>
      <c r="E245" s="632"/>
      <c r="F245" s="633"/>
    </row>
    <row r="246" spans="1:6" x14ac:dyDescent="0.2">
      <c r="A246" s="1505"/>
      <c r="B246" s="629" t="s">
        <v>71</v>
      </c>
      <c r="C246" s="630"/>
      <c r="D246" s="631"/>
      <c r="E246" s="632"/>
      <c r="F246" s="633"/>
    </row>
    <row r="247" spans="1:6" x14ac:dyDescent="0.2">
      <c r="A247" s="1505"/>
      <c r="B247" s="629" t="s">
        <v>51</v>
      </c>
      <c r="C247" s="630">
        <v>2540</v>
      </c>
      <c r="D247" s="631">
        <v>2540</v>
      </c>
      <c r="E247" s="632">
        <v>2170</v>
      </c>
      <c r="F247" s="633">
        <f>E247/D247*100</f>
        <v>85.433070866141733</v>
      </c>
    </row>
    <row r="248" spans="1:6" x14ac:dyDescent="0.2">
      <c r="A248" s="1505"/>
      <c r="B248" s="629" t="s">
        <v>72</v>
      </c>
      <c r="C248" s="630"/>
      <c r="D248" s="631"/>
      <c r="E248" s="632"/>
      <c r="F248" s="633"/>
    </row>
    <row r="249" spans="1:6" ht="24" x14ac:dyDescent="0.2">
      <c r="A249" s="1505"/>
      <c r="B249" s="629" t="s">
        <v>69</v>
      </c>
      <c r="C249" s="630"/>
      <c r="D249" s="631"/>
      <c r="E249" s="632"/>
      <c r="F249" s="633"/>
    </row>
    <row r="250" spans="1:6" ht="24" x14ac:dyDescent="0.2">
      <c r="A250" s="1505"/>
      <c r="B250" s="629" t="s">
        <v>60</v>
      </c>
      <c r="C250" s="634"/>
      <c r="D250" s="631"/>
      <c r="E250" s="632"/>
      <c r="F250" s="633"/>
    </row>
    <row r="251" spans="1:6" ht="13.5" thickBot="1" x14ac:dyDescent="0.25">
      <c r="A251" s="1505"/>
      <c r="B251" s="828" t="s">
        <v>67</v>
      </c>
      <c r="C251" s="830"/>
      <c r="D251" s="834"/>
      <c r="E251" s="833"/>
      <c r="F251" s="826"/>
    </row>
    <row r="252" spans="1:6" ht="13.5" thickBot="1" x14ac:dyDescent="0.25">
      <c r="A252" s="1506"/>
      <c r="B252" s="829" t="s">
        <v>11</v>
      </c>
      <c r="C252" s="831">
        <f>SUM(C244:C251)</f>
        <v>2540</v>
      </c>
      <c r="D252" s="827">
        <f>SUM(D244:D251)</f>
        <v>1142278</v>
      </c>
      <c r="E252" s="827">
        <f>SUM(E244:E251)</f>
        <v>2170</v>
      </c>
      <c r="F252" s="827">
        <f>E252/D252*100</f>
        <v>0.18997126794002861</v>
      </c>
    </row>
    <row r="253" spans="1:6" ht="24" x14ac:dyDescent="0.2">
      <c r="A253" s="1504" t="s">
        <v>479</v>
      </c>
      <c r="B253" s="624" t="s">
        <v>53</v>
      </c>
      <c r="C253" s="625"/>
      <c r="D253" s="626"/>
      <c r="E253" s="627"/>
      <c r="F253" s="656"/>
    </row>
    <row r="254" spans="1:6" ht="36" x14ac:dyDescent="0.2">
      <c r="A254" s="1505"/>
      <c r="B254" s="629" t="s">
        <v>58</v>
      </c>
      <c r="C254" s="630"/>
      <c r="D254" s="631"/>
      <c r="E254" s="632"/>
      <c r="F254" s="633"/>
    </row>
    <row r="255" spans="1:6" x14ac:dyDescent="0.2">
      <c r="A255" s="1505"/>
      <c r="B255" s="629" t="s">
        <v>71</v>
      </c>
      <c r="C255" s="630"/>
      <c r="D255" s="631"/>
      <c r="E255" s="632"/>
      <c r="F255" s="633"/>
    </row>
    <row r="256" spans="1:6" x14ac:dyDescent="0.2">
      <c r="A256" s="1505"/>
      <c r="B256" s="629" t="s">
        <v>51</v>
      </c>
      <c r="C256" s="630"/>
      <c r="D256" s="631"/>
      <c r="E256" s="632">
        <v>1</v>
      </c>
      <c r="F256" s="633"/>
    </row>
    <row r="257" spans="1:6" x14ac:dyDescent="0.2">
      <c r="A257" s="1505"/>
      <c r="B257" s="629" t="s">
        <v>72</v>
      </c>
      <c r="C257" s="630"/>
      <c r="D257" s="631"/>
      <c r="E257" s="632"/>
      <c r="F257" s="633"/>
    </row>
    <row r="258" spans="1:6" ht="24" x14ac:dyDescent="0.2">
      <c r="A258" s="1505"/>
      <c r="B258" s="629" t="s">
        <v>69</v>
      </c>
      <c r="C258" s="630">
        <v>204000</v>
      </c>
      <c r="D258" s="631">
        <v>3150000</v>
      </c>
      <c r="E258" s="632">
        <v>4358575</v>
      </c>
      <c r="F258" s="633">
        <f t="shared" ref="F258" si="6">E258/D258*100</f>
        <v>138.36746031746031</v>
      </c>
    </row>
    <row r="259" spans="1:6" ht="24" x14ac:dyDescent="0.2">
      <c r="A259" s="1505"/>
      <c r="B259" s="629" t="s">
        <v>60</v>
      </c>
      <c r="C259" s="634"/>
      <c r="D259" s="631"/>
      <c r="E259" s="632"/>
      <c r="F259" s="633"/>
    </row>
    <row r="260" spans="1:6" ht="13.5" thickBot="1" x14ac:dyDescent="0.25">
      <c r="A260" s="1505"/>
      <c r="B260" s="828" t="s">
        <v>67</v>
      </c>
      <c r="C260" s="830">
        <v>4368000</v>
      </c>
      <c r="D260" s="631">
        <v>4368000</v>
      </c>
      <c r="E260" s="833"/>
      <c r="F260" s="826"/>
    </row>
    <row r="261" spans="1:6" ht="13.5" thickBot="1" x14ac:dyDescent="0.25">
      <c r="A261" s="1506"/>
      <c r="B261" s="829" t="s">
        <v>11</v>
      </c>
      <c r="C261" s="1140">
        <f>SUM(C253:C260)</f>
        <v>4572000</v>
      </c>
      <c r="D261" s="1141">
        <f>SUM(D253:D260)</f>
        <v>7518000</v>
      </c>
      <c r="E261" s="1142">
        <f>SUM(E253:E260)</f>
        <v>4358576</v>
      </c>
      <c r="F261" s="1142">
        <f>E261/D261*100</f>
        <v>57.975206171854218</v>
      </c>
    </row>
    <row r="262" spans="1:6" ht="16.5" thickBot="1" x14ac:dyDescent="0.3">
      <c r="A262" s="661" t="s">
        <v>73</v>
      </c>
      <c r="B262" s="662" t="s">
        <v>151</v>
      </c>
      <c r="C262" s="663" t="s">
        <v>147</v>
      </c>
      <c r="D262" s="664" t="s">
        <v>152</v>
      </c>
      <c r="E262" s="664" t="s">
        <v>149</v>
      </c>
      <c r="F262" s="665" t="s">
        <v>150</v>
      </c>
    </row>
    <row r="263" spans="1:6" ht="24" x14ac:dyDescent="0.2">
      <c r="A263" s="1504" t="s">
        <v>612</v>
      </c>
      <c r="B263" s="658" t="s">
        <v>53</v>
      </c>
      <c r="C263" s="1131"/>
      <c r="D263" s="626">
        <v>20417494</v>
      </c>
      <c r="E263" s="627">
        <v>20417494</v>
      </c>
      <c r="F263" s="633">
        <f t="shared" ref="F263:F264" si="7">E263/D263%</f>
        <v>100</v>
      </c>
    </row>
    <row r="264" spans="1:6" ht="36" x14ac:dyDescent="0.2">
      <c r="A264" s="1505"/>
      <c r="B264" s="646" t="s">
        <v>58</v>
      </c>
      <c r="C264" s="1132"/>
      <c r="D264" s="631">
        <v>2783374</v>
      </c>
      <c r="E264" s="632">
        <v>2783374</v>
      </c>
      <c r="F264" s="633">
        <f t="shared" si="7"/>
        <v>100</v>
      </c>
    </row>
    <row r="265" spans="1:6" x14ac:dyDescent="0.2">
      <c r="A265" s="1505"/>
      <c r="B265" s="646" t="s">
        <v>71</v>
      </c>
      <c r="C265" s="1132"/>
      <c r="D265" s="631"/>
      <c r="E265" s="632"/>
      <c r="F265" s="633"/>
    </row>
    <row r="266" spans="1:6" x14ac:dyDescent="0.2">
      <c r="A266" s="1505"/>
      <c r="B266" s="646" t="s">
        <v>51</v>
      </c>
      <c r="C266" s="1132"/>
      <c r="D266" s="631"/>
      <c r="E266" s="632"/>
      <c r="F266" s="633"/>
    </row>
    <row r="267" spans="1:6" x14ac:dyDescent="0.2">
      <c r="A267" s="1505"/>
      <c r="B267" s="646" t="s">
        <v>72</v>
      </c>
      <c r="C267" s="1132"/>
      <c r="D267" s="631"/>
      <c r="E267" s="632"/>
      <c r="F267" s="633"/>
    </row>
    <row r="268" spans="1:6" ht="24" x14ac:dyDescent="0.2">
      <c r="A268" s="1505"/>
      <c r="B268" s="646" t="s">
        <v>69</v>
      </c>
      <c r="C268" s="1132"/>
      <c r="D268" s="631"/>
      <c r="E268" s="632"/>
      <c r="F268" s="633"/>
    </row>
    <row r="269" spans="1:6" ht="24" x14ac:dyDescent="0.2">
      <c r="A269" s="1505"/>
      <c r="B269" s="646" t="s">
        <v>60</v>
      </c>
      <c r="C269" s="1134"/>
      <c r="D269" s="631"/>
      <c r="E269" s="632"/>
      <c r="F269" s="633"/>
    </row>
    <row r="270" spans="1:6" ht="13.5" thickBot="1" x14ac:dyDescent="0.25">
      <c r="A270" s="1505"/>
      <c r="B270" s="1138" t="s">
        <v>67</v>
      </c>
      <c r="C270" s="1132"/>
      <c r="D270" s="631"/>
      <c r="E270" s="632"/>
      <c r="F270" s="633"/>
    </row>
    <row r="271" spans="1:6" ht="13.5" thickBot="1" x14ac:dyDescent="0.25">
      <c r="A271" s="1506"/>
      <c r="B271" s="1139" t="s">
        <v>11</v>
      </c>
      <c r="C271" s="651">
        <f>SUM(C263:C270)</f>
        <v>0</v>
      </c>
      <c r="D271" s="637">
        <f>SUM(D263:D270)</f>
        <v>23200868</v>
      </c>
      <c r="E271" s="637">
        <f>SUM(E263:E270)</f>
        <v>23200868</v>
      </c>
      <c r="F271" s="638">
        <f t="shared" ref="F271:F272" si="8">E271/D271%</f>
        <v>100</v>
      </c>
    </row>
    <row r="272" spans="1:6" ht="24" x14ac:dyDescent="0.2">
      <c r="A272" s="1504" t="s">
        <v>613</v>
      </c>
      <c r="B272" s="658" t="s">
        <v>53</v>
      </c>
      <c r="C272" s="1131"/>
      <c r="D272" s="626">
        <v>608000</v>
      </c>
      <c r="E272" s="627">
        <v>608000</v>
      </c>
      <c r="F272" s="633">
        <f t="shared" si="8"/>
        <v>100</v>
      </c>
    </row>
    <row r="273" spans="1:6" ht="36" x14ac:dyDescent="0.2">
      <c r="A273" s="1505"/>
      <c r="B273" s="646" t="s">
        <v>58</v>
      </c>
      <c r="C273" s="1132"/>
      <c r="D273" s="631"/>
      <c r="E273" s="632"/>
      <c r="F273" s="633"/>
    </row>
    <row r="274" spans="1:6" x14ac:dyDescent="0.2">
      <c r="A274" s="1505"/>
      <c r="B274" s="646" t="s">
        <v>71</v>
      </c>
      <c r="C274" s="1132"/>
      <c r="D274" s="631"/>
      <c r="E274" s="632"/>
      <c r="F274" s="633"/>
    </row>
    <row r="275" spans="1:6" x14ac:dyDescent="0.2">
      <c r="A275" s="1505"/>
      <c r="B275" s="646" t="s">
        <v>51</v>
      </c>
      <c r="C275" s="1132"/>
      <c r="D275" s="631"/>
      <c r="E275" s="632"/>
      <c r="F275" s="633"/>
    </row>
    <row r="276" spans="1:6" x14ac:dyDescent="0.2">
      <c r="A276" s="1505"/>
      <c r="B276" s="646" t="s">
        <v>72</v>
      </c>
      <c r="C276" s="1132"/>
      <c r="D276" s="631"/>
      <c r="E276" s="632"/>
      <c r="F276" s="633"/>
    </row>
    <row r="277" spans="1:6" ht="24" x14ac:dyDescent="0.2">
      <c r="A277" s="1505"/>
      <c r="B277" s="646" t="s">
        <v>69</v>
      </c>
      <c r="C277" s="1132"/>
      <c r="D277" s="631"/>
      <c r="E277" s="632"/>
      <c r="F277" s="633"/>
    </row>
    <row r="278" spans="1:6" ht="24" x14ac:dyDescent="0.2">
      <c r="A278" s="1505"/>
      <c r="B278" s="646" t="s">
        <v>60</v>
      </c>
      <c r="C278" s="1134"/>
      <c r="D278" s="631"/>
      <c r="E278" s="632"/>
      <c r="F278" s="633"/>
    </row>
    <row r="279" spans="1:6" ht="13.5" thickBot="1" x14ac:dyDescent="0.25">
      <c r="A279" s="1505"/>
      <c r="B279" s="1138" t="s">
        <v>67</v>
      </c>
      <c r="C279" s="1132"/>
      <c r="D279" s="631"/>
      <c r="E279" s="632"/>
      <c r="F279" s="633"/>
    </row>
    <row r="280" spans="1:6" ht="13.5" thickBot="1" x14ac:dyDescent="0.25">
      <c r="A280" s="1506"/>
      <c r="B280" s="1139" t="s">
        <v>11</v>
      </c>
      <c r="C280" s="651">
        <f>SUM(C272:C279)</f>
        <v>0</v>
      </c>
      <c r="D280" s="637">
        <f>SUM(D272:D279)</f>
        <v>608000</v>
      </c>
      <c r="E280" s="637">
        <f>SUM(E272:E279)</f>
        <v>608000</v>
      </c>
      <c r="F280" s="638">
        <f t="shared" ref="F280" si="9">E280/D280%</f>
        <v>100</v>
      </c>
    </row>
    <row r="281" spans="1:6" ht="24" x14ac:dyDescent="0.2">
      <c r="A281" s="1504" t="s">
        <v>478</v>
      </c>
      <c r="B281" s="624" t="s">
        <v>53</v>
      </c>
      <c r="C281" s="653"/>
      <c r="D281" s="654"/>
      <c r="E281" s="655"/>
      <c r="F281" s="656"/>
    </row>
    <row r="282" spans="1:6" ht="36" x14ac:dyDescent="0.2">
      <c r="A282" s="1505"/>
      <c r="B282" s="629" t="s">
        <v>58</v>
      </c>
      <c r="C282" s="630"/>
      <c r="D282" s="631"/>
      <c r="E282" s="632"/>
      <c r="F282" s="656"/>
    </row>
    <row r="283" spans="1:6" x14ac:dyDescent="0.2">
      <c r="A283" s="1505"/>
      <c r="B283" s="629" t="s">
        <v>71</v>
      </c>
      <c r="C283" s="630">
        <v>79608000</v>
      </c>
      <c r="D283" s="631">
        <v>79608000</v>
      </c>
      <c r="E283" s="632">
        <v>98637447</v>
      </c>
      <c r="F283" s="656">
        <f t="shared" ref="F283" si="10">E283/D283%</f>
        <v>123.9039380464275</v>
      </c>
    </row>
    <row r="284" spans="1:6" x14ac:dyDescent="0.2">
      <c r="A284" s="1505"/>
      <c r="B284" s="629" t="s">
        <v>51</v>
      </c>
      <c r="C284" s="630"/>
      <c r="D284" s="631"/>
      <c r="E284" s="632"/>
      <c r="F284" s="633"/>
    </row>
    <row r="285" spans="1:6" x14ac:dyDescent="0.2">
      <c r="A285" s="1505"/>
      <c r="B285" s="629" t="s">
        <v>72</v>
      </c>
      <c r="C285" s="630"/>
      <c r="D285" s="631"/>
      <c r="E285" s="632"/>
      <c r="F285" s="633"/>
    </row>
    <row r="286" spans="1:6" ht="24" x14ac:dyDescent="0.2">
      <c r="A286" s="1505"/>
      <c r="B286" s="629" t="s">
        <v>69</v>
      </c>
      <c r="C286" s="630"/>
      <c r="D286" s="631"/>
      <c r="E286" s="632"/>
      <c r="F286" s="633"/>
    </row>
    <row r="287" spans="1:6" ht="24" x14ac:dyDescent="0.2">
      <c r="A287" s="1505"/>
      <c r="B287" s="629" t="s">
        <v>60</v>
      </c>
      <c r="C287" s="634"/>
      <c r="D287" s="631"/>
      <c r="E287" s="632"/>
      <c r="F287" s="633"/>
    </row>
    <row r="288" spans="1:6" ht="13.5" thickBot="1" x14ac:dyDescent="0.25">
      <c r="A288" s="1505"/>
      <c r="B288" s="828" t="s">
        <v>67</v>
      </c>
      <c r="C288" s="830"/>
      <c r="D288" s="631"/>
      <c r="E288" s="833"/>
      <c r="F288" s="826"/>
    </row>
    <row r="289" spans="1:6" ht="13.5" thickBot="1" x14ac:dyDescent="0.25">
      <c r="A289" s="1506"/>
      <c r="B289" s="829" t="s">
        <v>11</v>
      </c>
      <c r="C289" s="831">
        <f>SUM(C281:C288)</f>
        <v>79608000</v>
      </c>
      <c r="D289" s="832">
        <f>SUM(D281:D288)</f>
        <v>79608000</v>
      </c>
      <c r="E289" s="827">
        <f>SUM(E281:E288)</f>
        <v>98637447</v>
      </c>
      <c r="F289" s="827">
        <f>E289/D289*100</f>
        <v>123.9039380464275</v>
      </c>
    </row>
    <row r="290" spans="1:6" ht="24" x14ac:dyDescent="0.2">
      <c r="A290" s="1504" t="s">
        <v>76</v>
      </c>
      <c r="B290" s="624" t="s">
        <v>53</v>
      </c>
      <c r="C290" s="625"/>
      <c r="D290" s="626"/>
      <c r="E290" s="627"/>
      <c r="F290" s="656"/>
    </row>
    <row r="291" spans="1:6" ht="36" x14ac:dyDescent="0.2">
      <c r="A291" s="1505"/>
      <c r="B291" s="629" t="s">
        <v>58</v>
      </c>
      <c r="C291" s="630"/>
      <c r="D291" s="631"/>
      <c r="E291" s="632"/>
      <c r="F291" s="633"/>
    </row>
    <row r="292" spans="1:6" x14ac:dyDescent="0.2">
      <c r="A292" s="1505"/>
      <c r="B292" s="629" t="s">
        <v>71</v>
      </c>
      <c r="C292" s="630"/>
      <c r="D292" s="631"/>
      <c r="E292" s="632"/>
      <c r="F292" s="633"/>
    </row>
    <row r="293" spans="1:6" x14ac:dyDescent="0.2">
      <c r="A293" s="1505"/>
      <c r="B293" s="629" t="s">
        <v>51</v>
      </c>
      <c r="C293" s="630"/>
      <c r="D293" s="631"/>
      <c r="E293" s="632"/>
      <c r="F293" s="633"/>
    </row>
    <row r="294" spans="1:6" x14ac:dyDescent="0.2">
      <c r="A294" s="1505"/>
      <c r="B294" s="629" t="s">
        <v>72</v>
      </c>
      <c r="C294" s="630"/>
      <c r="D294" s="631"/>
      <c r="E294" s="632"/>
      <c r="F294" s="633"/>
    </row>
    <row r="295" spans="1:6" ht="24" x14ac:dyDescent="0.2">
      <c r="A295" s="1505"/>
      <c r="B295" s="629" t="s">
        <v>69</v>
      </c>
      <c r="C295" s="630"/>
      <c r="D295" s="631"/>
      <c r="E295" s="632"/>
      <c r="F295" s="633"/>
    </row>
    <row r="296" spans="1:6" ht="24" x14ac:dyDescent="0.2">
      <c r="A296" s="1505"/>
      <c r="B296" s="629" t="s">
        <v>60</v>
      </c>
      <c r="C296" s="634"/>
      <c r="D296" s="631"/>
      <c r="E296" s="632"/>
      <c r="F296" s="633"/>
    </row>
    <row r="297" spans="1:6" ht="13.5" thickBot="1" x14ac:dyDescent="0.25">
      <c r="A297" s="1505"/>
      <c r="B297" s="828" t="s">
        <v>67</v>
      </c>
      <c r="C297" s="830">
        <v>98439274</v>
      </c>
      <c r="D297" s="834">
        <v>98437274</v>
      </c>
      <c r="E297" s="833">
        <v>48633958</v>
      </c>
      <c r="F297" s="633">
        <f>E297/D297*100</f>
        <v>49.406039017293388</v>
      </c>
    </row>
    <row r="298" spans="1:6" ht="13.5" thickBot="1" x14ac:dyDescent="0.25">
      <c r="A298" s="1506"/>
      <c r="B298" s="829" t="s">
        <v>11</v>
      </c>
      <c r="C298" s="831">
        <f>SUM(C290:C297)</f>
        <v>98439274</v>
      </c>
      <c r="D298" s="827">
        <f>SUM(D290:D297)</f>
        <v>98437274</v>
      </c>
      <c r="E298" s="827">
        <f>SUM(E290:E297)</f>
        <v>48633958</v>
      </c>
      <c r="F298" s="827">
        <f>E298/D298*100</f>
        <v>49.406039017293388</v>
      </c>
    </row>
    <row r="299" spans="1:6" ht="24" x14ac:dyDescent="0.2">
      <c r="A299" s="1504" t="s">
        <v>11</v>
      </c>
      <c r="B299" s="642" t="s">
        <v>53</v>
      </c>
      <c r="C299" s="835">
        <f t="shared" ref="C299:E303" si="11">SUM(C189+C171+C115+C78+C290+C281+C253+C244+C235+C226+C216+C198+C161+C143+C134+C88+C69+C60+C41+C32+C23+C14+C5)+C272+C263+C207+C180+C152+C125+C106+C97+C51</f>
        <v>347079172</v>
      </c>
      <c r="D299" s="835">
        <f t="shared" si="11"/>
        <v>711198261</v>
      </c>
      <c r="E299" s="835">
        <f t="shared" si="11"/>
        <v>711198261</v>
      </c>
      <c r="F299" s="824">
        <f>E299/D299*100</f>
        <v>100</v>
      </c>
    </row>
    <row r="300" spans="1:6" ht="36" x14ac:dyDescent="0.2">
      <c r="A300" s="1505"/>
      <c r="B300" s="629" t="s">
        <v>58</v>
      </c>
      <c r="C300" s="835">
        <f t="shared" si="11"/>
        <v>2267638006</v>
      </c>
      <c r="D300" s="835">
        <f t="shared" si="11"/>
        <v>2095818309</v>
      </c>
      <c r="E300" s="835">
        <f t="shared" si="11"/>
        <v>671697561</v>
      </c>
      <c r="F300" s="824">
        <f t="shared" ref="F300:F307" si="12">E300/D300*100</f>
        <v>32.049417552826618</v>
      </c>
    </row>
    <row r="301" spans="1:6" x14ac:dyDescent="0.2">
      <c r="A301" s="1505"/>
      <c r="B301" s="629" t="s">
        <v>71</v>
      </c>
      <c r="C301" s="835">
        <f t="shared" si="11"/>
        <v>79608000</v>
      </c>
      <c r="D301" s="835">
        <f t="shared" si="11"/>
        <v>79608000</v>
      </c>
      <c r="E301" s="835">
        <f t="shared" si="11"/>
        <v>98637447</v>
      </c>
      <c r="F301" s="824"/>
    </row>
    <row r="302" spans="1:6" x14ac:dyDescent="0.2">
      <c r="A302" s="1505"/>
      <c r="B302" s="629" t="s">
        <v>51</v>
      </c>
      <c r="C302" s="835">
        <f t="shared" si="11"/>
        <v>65809738</v>
      </c>
      <c r="D302" s="835">
        <f t="shared" si="11"/>
        <v>105195667</v>
      </c>
      <c r="E302" s="835">
        <f t="shared" si="11"/>
        <v>93960590</v>
      </c>
      <c r="F302" s="824">
        <f t="shared" si="12"/>
        <v>89.319829114254304</v>
      </c>
    </row>
    <row r="303" spans="1:6" x14ac:dyDescent="0.2">
      <c r="A303" s="1505"/>
      <c r="B303" s="629" t="s">
        <v>72</v>
      </c>
      <c r="C303" s="835">
        <f t="shared" si="11"/>
        <v>25679000</v>
      </c>
      <c r="D303" s="835">
        <f t="shared" si="11"/>
        <v>26688031</v>
      </c>
      <c r="E303" s="835">
        <f t="shared" si="11"/>
        <v>53514945</v>
      </c>
      <c r="F303" s="824">
        <f t="shared" si="12"/>
        <v>200.52039432957793</v>
      </c>
    </row>
    <row r="304" spans="1:6" ht="24" x14ac:dyDescent="0.2">
      <c r="A304" s="1505"/>
      <c r="B304" s="629" t="s">
        <v>69</v>
      </c>
      <c r="C304" s="835">
        <f t="shared" ref="C304:D306" si="13">SUM(C194+C176+C120+C83+C295+C286+C258+C249+C240+C231+C221+C203+C166+C148+C139+C93+C74+C65+C46+C37+C28+C19+C10)+C277+C268+C212+C185+C157+C130+C111+C102+C56</f>
        <v>10999199</v>
      </c>
      <c r="D304" s="835">
        <f t="shared" si="13"/>
        <v>16493197</v>
      </c>
      <c r="E304" s="835">
        <v>13653774</v>
      </c>
      <c r="F304" s="824">
        <f t="shared" si="12"/>
        <v>82.784277663087394</v>
      </c>
    </row>
    <row r="305" spans="1:6" ht="24" x14ac:dyDescent="0.2">
      <c r="A305" s="1505"/>
      <c r="B305" s="629" t="s">
        <v>60</v>
      </c>
      <c r="C305" s="835">
        <f t="shared" si="13"/>
        <v>0</v>
      </c>
      <c r="D305" s="835">
        <f t="shared" si="13"/>
        <v>0</v>
      </c>
      <c r="E305" s="835">
        <f>SUM(E195+E177+E121+E84+E296+E287+E259+E250+E241+E232+E222+E204+E167+E149+E140+E94+E75+E66+E47+E38+E29+E20+E11)+E278+E269+E213+E186+E158+E131+E112+E103+E57</f>
        <v>0</v>
      </c>
      <c r="F305" s="824"/>
    </row>
    <row r="306" spans="1:6" x14ac:dyDescent="0.2">
      <c r="A306" s="1505"/>
      <c r="B306" s="629" t="s">
        <v>67</v>
      </c>
      <c r="C306" s="835">
        <f t="shared" si="13"/>
        <v>302963808</v>
      </c>
      <c r="D306" s="835">
        <f t="shared" si="13"/>
        <v>367069319</v>
      </c>
      <c r="E306" s="835">
        <f>SUM(E196+E178+E122+E85+E297+E288+E260+E251+E242+E233+E223+E205+E168+E150+E141+E95+E76+E67+E48+E39+E30+E21+E12)+E279+E270+E214+E187+E159+E132+E113+E104+E58</f>
        <v>1164274652</v>
      </c>
      <c r="F306" s="824">
        <f t="shared" si="12"/>
        <v>317.18114038291498</v>
      </c>
    </row>
    <row r="307" spans="1:6" ht="13.5" thickBot="1" x14ac:dyDescent="0.25">
      <c r="A307" s="1506"/>
      <c r="B307" s="635" t="s">
        <v>11</v>
      </c>
      <c r="C307" s="835">
        <f>SUM(C299:C306)</f>
        <v>3099776923</v>
      </c>
      <c r="D307" s="835">
        <f>SUM(D299:D306)</f>
        <v>3402070784</v>
      </c>
      <c r="E307" s="835">
        <f>SUM(E299:E306)</f>
        <v>2806937230</v>
      </c>
      <c r="F307" s="824">
        <f t="shared" si="12"/>
        <v>82.506726291559715</v>
      </c>
    </row>
    <row r="311" spans="1:6" x14ac:dyDescent="0.2">
      <c r="C311" s="1003"/>
    </row>
  </sheetData>
  <mergeCells count="34">
    <mergeCell ref="A189:A197"/>
    <mergeCell ref="A198:A206"/>
    <mergeCell ref="A216:A224"/>
    <mergeCell ref="A207:A215"/>
    <mergeCell ref="A299:A307"/>
    <mergeCell ref="A235:A243"/>
    <mergeCell ref="A281:A289"/>
    <mergeCell ref="A290:A298"/>
    <mergeCell ref="A244:A252"/>
    <mergeCell ref="A253:A261"/>
    <mergeCell ref="A263:A271"/>
    <mergeCell ref="A272:A280"/>
    <mergeCell ref="A226:A234"/>
    <mergeCell ref="A1:G1"/>
    <mergeCell ref="A5:A13"/>
    <mergeCell ref="A14:A22"/>
    <mergeCell ref="A23:A31"/>
    <mergeCell ref="A32:A40"/>
    <mergeCell ref="A115:A123"/>
    <mergeCell ref="A41:A49"/>
    <mergeCell ref="A60:A68"/>
    <mergeCell ref="A69:A77"/>
    <mergeCell ref="A88:A96"/>
    <mergeCell ref="A78:A86"/>
    <mergeCell ref="A51:A59"/>
    <mergeCell ref="A97:A105"/>
    <mergeCell ref="A106:A114"/>
    <mergeCell ref="A125:A133"/>
    <mergeCell ref="A152:A160"/>
    <mergeCell ref="A180:A188"/>
    <mergeCell ref="A134:A142"/>
    <mergeCell ref="A143:A151"/>
    <mergeCell ref="A161:A169"/>
    <mergeCell ref="A171:A179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&amp;R1.1.sz. melléklete
...../2020.(VI.25.) Egyek Önk.</oddHeader>
  </headerFooter>
  <rowBreaks count="6" manualBreakCount="6">
    <brk id="49" max="6" man="1"/>
    <brk id="86" max="6" man="1"/>
    <brk id="123" max="6" man="1"/>
    <brk id="169" max="6" man="1"/>
    <brk id="224" max="6" man="1"/>
    <brk id="261" max="6" man="1"/>
  </rowBreaks>
  <colBreaks count="1" manualBreakCount="1">
    <brk id="7" max="15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30" zoomScaleNormal="130" workbookViewId="0">
      <selection activeCell="M20" sqref="M20"/>
    </sheetView>
  </sheetViews>
  <sheetFormatPr defaultRowHeight="12.75" x14ac:dyDescent="0.2"/>
  <cols>
    <col min="1" max="1" width="36.7109375" customWidth="1"/>
    <col min="2" max="2" width="15.5703125" bestFit="1" customWidth="1"/>
    <col min="3" max="4" width="13.140625" customWidth="1"/>
    <col min="5" max="5" width="8.7109375" customWidth="1"/>
    <col min="6" max="6" width="37.28515625" customWidth="1"/>
    <col min="7" max="7" width="14.140625" customWidth="1"/>
    <col min="8" max="8" width="12.42578125" style="24" customWidth="1"/>
    <col min="9" max="9" width="12.140625" style="24" customWidth="1"/>
    <col min="10" max="10" width="10.85546875" customWidth="1"/>
    <col min="11" max="11" width="11.140625" bestFit="1" customWidth="1"/>
  </cols>
  <sheetData>
    <row r="1" spans="1:11" ht="15.75" x14ac:dyDescent="0.25">
      <c r="A1" s="1617" t="s">
        <v>778</v>
      </c>
      <c r="B1" s="1617"/>
      <c r="C1" s="1617"/>
      <c r="D1" s="1617"/>
      <c r="E1" s="1617"/>
      <c r="F1" s="1617"/>
      <c r="G1" s="1617"/>
      <c r="H1" s="1617"/>
      <c r="I1" s="1617"/>
      <c r="J1" s="1617"/>
    </row>
    <row r="2" spans="1:11" x14ac:dyDescent="0.2">
      <c r="A2" s="476"/>
      <c r="B2" s="477"/>
      <c r="C2" s="477"/>
      <c r="D2" s="477"/>
      <c r="E2" s="476"/>
      <c r="F2" s="476"/>
      <c r="G2" s="3"/>
      <c r="H2" s="956"/>
      <c r="I2" s="956"/>
      <c r="J2" s="3"/>
    </row>
    <row r="3" spans="1:11" ht="13.5" thickBot="1" x14ac:dyDescent="0.25">
      <c r="A3" s="3"/>
      <c r="B3" s="3"/>
      <c r="C3" s="3"/>
      <c r="D3" s="3"/>
      <c r="E3" s="3"/>
      <c r="F3" s="3"/>
      <c r="G3" s="3"/>
      <c r="H3" s="1618" t="s">
        <v>529</v>
      </c>
      <c r="I3" s="1618"/>
      <c r="J3" s="1618"/>
    </row>
    <row r="4" spans="1:11" x14ac:dyDescent="0.2">
      <c r="A4" s="478"/>
      <c r="B4" s="490"/>
      <c r="C4" s="490"/>
      <c r="D4" s="491"/>
      <c r="E4" s="490"/>
      <c r="F4" s="479"/>
      <c r="G4" s="490"/>
      <c r="H4" s="957"/>
      <c r="I4" s="963"/>
      <c r="J4" s="490"/>
    </row>
    <row r="5" spans="1:11" x14ac:dyDescent="0.2">
      <c r="A5" s="480" t="s">
        <v>330</v>
      </c>
      <c r="B5" s="492" t="s">
        <v>147</v>
      </c>
      <c r="C5" s="492" t="s">
        <v>148</v>
      </c>
      <c r="D5" s="493" t="s">
        <v>149</v>
      </c>
      <c r="E5" s="492" t="s">
        <v>341</v>
      </c>
      <c r="F5" s="481" t="s">
        <v>331</v>
      </c>
      <c r="G5" s="492" t="s">
        <v>147</v>
      </c>
      <c r="H5" s="958" t="s">
        <v>148</v>
      </c>
      <c r="I5" s="964" t="s">
        <v>149</v>
      </c>
      <c r="J5" s="492" t="s">
        <v>341</v>
      </c>
    </row>
    <row r="6" spans="1:11" ht="13.5" thickBot="1" x14ac:dyDescent="0.25">
      <c r="A6" s="482"/>
      <c r="B6" s="492"/>
      <c r="C6" s="492"/>
      <c r="D6" s="493"/>
      <c r="E6" s="492"/>
      <c r="F6" s="481"/>
      <c r="G6" s="480"/>
      <c r="H6" s="959"/>
      <c r="I6" s="965"/>
      <c r="J6" s="480"/>
    </row>
    <row r="7" spans="1:11" ht="13.5" thickBot="1" x14ac:dyDescent="0.25">
      <c r="A7" s="547" t="s">
        <v>332</v>
      </c>
      <c r="B7" s="483"/>
      <c r="C7" s="483"/>
      <c r="D7" s="484"/>
      <c r="E7" s="546"/>
      <c r="F7" s="549" t="s">
        <v>333</v>
      </c>
      <c r="G7" s="550"/>
      <c r="H7" s="960"/>
      <c r="I7" s="966"/>
      <c r="J7" s="551"/>
    </row>
    <row r="8" spans="1:11" ht="13.5" thickBot="1" x14ac:dyDescent="0.25">
      <c r="A8" s="547"/>
      <c r="B8" s="478"/>
      <c r="C8" s="478"/>
      <c r="D8" s="548"/>
      <c r="E8" s="478"/>
      <c r="F8" s="554" t="s">
        <v>437</v>
      </c>
      <c r="G8" s="555">
        <v>347079172</v>
      </c>
      <c r="H8" s="950">
        <v>718193279</v>
      </c>
      <c r="I8" s="951">
        <v>703903729</v>
      </c>
      <c r="J8" s="489">
        <f t="shared" ref="J8:J15" si="0">SUM(I8/H8*100)</f>
        <v>98.010347573859718</v>
      </c>
    </row>
    <row r="9" spans="1:11" ht="26.25" thickBot="1" x14ac:dyDescent="0.25">
      <c r="A9" s="552" t="s">
        <v>436</v>
      </c>
      <c r="B9" s="553">
        <f>'Mérleg 5.mell.'!D45</f>
        <v>183897089</v>
      </c>
      <c r="C9" s="553">
        <f>'Mérleg 5.mell.'!E45</f>
        <v>544929649</v>
      </c>
      <c r="D9" s="553">
        <f>'Mérleg 5.mell.'!F45</f>
        <v>474384466</v>
      </c>
      <c r="E9" s="553">
        <f>SUM(D9/C9*100)</f>
        <v>87.054258631466013</v>
      </c>
      <c r="F9" s="1475" t="s">
        <v>780</v>
      </c>
      <c r="G9" s="555"/>
      <c r="H9" s="950">
        <v>580231999</v>
      </c>
      <c r="I9" s="951"/>
      <c r="J9" s="489"/>
      <c r="K9" s="2"/>
    </row>
    <row r="10" spans="1:11" ht="26.25" thickBot="1" x14ac:dyDescent="0.25">
      <c r="A10" s="556" t="s">
        <v>108</v>
      </c>
      <c r="B10" s="489">
        <f>'Mérleg 5.mell.'!D48</f>
        <v>30958477</v>
      </c>
      <c r="C10" s="489">
        <f>'Mérleg 5.mell.'!E48</f>
        <v>66853152</v>
      </c>
      <c r="D10" s="489">
        <f>'Mérleg 5.mell.'!F48</f>
        <v>60898284</v>
      </c>
      <c r="E10" s="553">
        <f t="shared" ref="E10:E15" si="1">SUM(D10/C10*100)</f>
        <v>91.092614451447247</v>
      </c>
      <c r="F10" s="557" t="s">
        <v>71</v>
      </c>
      <c r="G10" s="557">
        <v>79608000</v>
      </c>
      <c r="H10" s="572">
        <v>79608000</v>
      </c>
      <c r="I10" s="952">
        <f>98637447-10449365</f>
        <v>88188082</v>
      </c>
      <c r="J10" s="489">
        <f t="shared" si="0"/>
        <v>110.77791427997185</v>
      </c>
      <c r="K10" s="2"/>
    </row>
    <row r="11" spans="1:11" ht="12.75" customHeight="1" thickBot="1" x14ac:dyDescent="0.25">
      <c r="A11" s="558" t="s">
        <v>438</v>
      </c>
      <c r="B11" s="489">
        <f>'Mérleg 5.mell.'!D49</f>
        <v>198629383</v>
      </c>
      <c r="C11" s="489">
        <f>'Mérleg 5.mell.'!E49</f>
        <v>848515148</v>
      </c>
      <c r="D11" s="489">
        <f>'Mérleg 5.mell.'!F49</f>
        <v>421955849</v>
      </c>
      <c r="E11" s="553">
        <f t="shared" si="1"/>
        <v>49.728734954770658</v>
      </c>
      <c r="F11" s="559" t="s">
        <v>51</v>
      </c>
      <c r="G11" s="557">
        <v>25696021</v>
      </c>
      <c r="H11" s="572">
        <v>106045998</v>
      </c>
      <c r="I11" s="952">
        <v>94988611</v>
      </c>
      <c r="J11" s="489">
        <f t="shared" si="0"/>
        <v>89.573027546027717</v>
      </c>
      <c r="K11" s="2"/>
    </row>
    <row r="12" spans="1:11" ht="13.5" thickBot="1" x14ac:dyDescent="0.25">
      <c r="A12" s="558" t="s">
        <v>91</v>
      </c>
      <c r="B12" s="489">
        <f>'Mérleg 5.mell.'!D50</f>
        <v>34963165</v>
      </c>
      <c r="C12" s="489">
        <f>'Mérleg 5.mell.'!E50</f>
        <v>10215165</v>
      </c>
      <c r="D12" s="489">
        <f>'Mérleg 5.mell.'!F50</f>
        <v>9507143</v>
      </c>
      <c r="E12" s="553">
        <f t="shared" si="1"/>
        <v>93.068912739050219</v>
      </c>
      <c r="F12" s="560" t="s">
        <v>69</v>
      </c>
      <c r="G12" s="557">
        <v>10999199</v>
      </c>
      <c r="H12" s="572">
        <v>16493197</v>
      </c>
      <c r="I12" s="952">
        <v>13653774</v>
      </c>
      <c r="J12" s="489">
        <f t="shared" si="0"/>
        <v>82.784277663087394</v>
      </c>
    </row>
    <row r="13" spans="1:11" ht="13.5" thickBot="1" x14ac:dyDescent="0.25">
      <c r="A13" s="558" t="s">
        <v>439</v>
      </c>
      <c r="B13" s="489">
        <v>95411931</v>
      </c>
      <c r="C13" s="489">
        <v>111699902</v>
      </c>
      <c r="D13" s="489">
        <f>'Működési kiadások3'!P15</f>
        <v>108934943</v>
      </c>
      <c r="E13" s="553">
        <f t="shared" si="1"/>
        <v>97.524654050278386</v>
      </c>
      <c r="F13" s="559" t="s">
        <v>441</v>
      </c>
      <c r="G13" s="557">
        <v>80477653</v>
      </c>
      <c r="H13" s="571">
        <v>81415313</v>
      </c>
      <c r="I13" s="571">
        <v>89429858</v>
      </c>
      <c r="J13" s="489">
        <f t="shared" si="0"/>
        <v>109.84402651624026</v>
      </c>
    </row>
    <row r="14" spans="1:11" ht="13.5" thickBot="1" x14ac:dyDescent="0.25">
      <c r="A14" s="558" t="s">
        <v>440</v>
      </c>
      <c r="B14" s="489">
        <v>10000000</v>
      </c>
      <c r="C14" s="489">
        <f>'Mérleg 5.mell.'!E53</f>
        <v>2017288</v>
      </c>
      <c r="D14" s="489">
        <f>'Mérleg 5.mell.'!F53</f>
        <v>0</v>
      </c>
      <c r="E14" s="553"/>
      <c r="F14" s="559" t="s">
        <v>535</v>
      </c>
      <c r="G14" s="557">
        <v>80477653</v>
      </c>
      <c r="H14" s="572">
        <v>81415313</v>
      </c>
      <c r="I14" s="952">
        <v>89429858</v>
      </c>
      <c r="J14" s="489">
        <f t="shared" si="0"/>
        <v>109.84402651624026</v>
      </c>
    </row>
    <row r="15" spans="1:11" ht="13.5" thickBot="1" x14ac:dyDescent="0.25">
      <c r="A15" s="485" t="s">
        <v>472</v>
      </c>
      <c r="B15" s="486">
        <f>'Mérleg 5.mell.'!D59</f>
        <v>10128606</v>
      </c>
      <c r="C15" s="486">
        <f>'Mérleg 5.mell.'!E59</f>
        <v>62944621</v>
      </c>
      <c r="D15" s="486">
        <f>'Mérleg 5.mell.'!F59</f>
        <v>62944621</v>
      </c>
      <c r="E15" s="553">
        <f t="shared" si="1"/>
        <v>100</v>
      </c>
      <c r="F15" s="808" t="s">
        <v>779</v>
      </c>
      <c r="G15" s="565">
        <v>10128606</v>
      </c>
      <c r="H15" s="953">
        <v>63169851</v>
      </c>
      <c r="I15" s="954">
        <v>63169851</v>
      </c>
      <c r="J15" s="486">
        <f t="shared" si="0"/>
        <v>100</v>
      </c>
    </row>
    <row r="16" spans="1:11" ht="13.5" thickBot="1" x14ac:dyDescent="0.25">
      <c r="A16" s="561" t="s">
        <v>334</v>
      </c>
      <c r="B16" s="961">
        <f>SUM(B9+B10+B11+B12+B13+B15)</f>
        <v>553988651</v>
      </c>
      <c r="C16" s="961">
        <f>SUM(C9+C10+C11+C12+C13+C15)</f>
        <v>1645157637</v>
      </c>
      <c r="D16" s="562">
        <f t="shared" ref="D16" si="2">SUM(D9+D10+D11+D12+D13+D15)</f>
        <v>1138625306</v>
      </c>
      <c r="E16" s="562">
        <f>SUM(D16/C16*100)</f>
        <v>69.210711508249219</v>
      </c>
      <c r="F16" s="562" t="s">
        <v>335</v>
      </c>
      <c r="G16" s="562">
        <f>G9+G10+G11+G12+G13+G15</f>
        <v>206909479</v>
      </c>
      <c r="H16" s="961">
        <f>H8+H9+H10+H11+H12+H13+H15</f>
        <v>1645157637</v>
      </c>
      <c r="I16" s="961">
        <f>I15+I13+I12+I11+I10+I8</f>
        <v>1053333905</v>
      </c>
      <c r="J16" s="562">
        <f>SUM(I16/H16*100)</f>
        <v>64.02632071907648</v>
      </c>
    </row>
    <row r="17" spans="1:10" ht="13.5" thickBot="1" x14ac:dyDescent="0.25">
      <c r="A17" s="485"/>
      <c r="B17" s="962"/>
      <c r="C17" s="962"/>
      <c r="D17" s="487"/>
      <c r="E17" s="488"/>
      <c r="F17" s="564"/>
      <c r="G17" s="565"/>
      <c r="H17" s="953"/>
      <c r="I17" s="953"/>
      <c r="J17" s="486"/>
    </row>
    <row r="18" spans="1:10" ht="13.5" thickBot="1" x14ac:dyDescent="0.25">
      <c r="A18" s="547" t="s">
        <v>336</v>
      </c>
      <c r="B18" s="1469"/>
      <c r="C18" s="1469"/>
      <c r="D18" s="567"/>
      <c r="E18" s="566"/>
      <c r="F18" s="568" t="s">
        <v>337</v>
      </c>
      <c r="G18" s="569"/>
      <c r="H18" s="955"/>
      <c r="I18" s="955"/>
      <c r="J18" s="570"/>
    </row>
    <row r="19" spans="1:10" s="84" customFormat="1" ht="13.5" thickBot="1" x14ac:dyDescent="0.25">
      <c r="A19" s="940"/>
      <c r="B19" s="1469"/>
      <c r="C19" s="1469"/>
      <c r="D19" s="567"/>
      <c r="E19" s="566"/>
      <c r="F19" s="553" t="s">
        <v>437</v>
      </c>
      <c r="G19" s="553">
        <v>0</v>
      </c>
      <c r="H19" s="1105"/>
      <c r="I19" s="1105">
        <v>16999999</v>
      </c>
      <c r="J19" s="489"/>
    </row>
    <row r="20" spans="1:10" ht="13.5" thickBot="1" x14ac:dyDescent="0.25">
      <c r="A20" s="942" t="s">
        <v>92</v>
      </c>
      <c r="B20" s="1105">
        <f>'Mérleg 5.mell.'!D55</f>
        <v>2522090389</v>
      </c>
      <c r="C20" s="1105">
        <f>'Mérleg 5.mell.'!E55</f>
        <v>1707675394</v>
      </c>
      <c r="D20" s="1212">
        <f>'Mérleg 5.mell.'!F55</f>
        <v>843418159</v>
      </c>
      <c r="E20" s="554">
        <f>SUM(D20/C20*100)</f>
        <v>49.389840830604605</v>
      </c>
      <c r="F20" s="1104" t="s">
        <v>442</v>
      </c>
      <c r="G20" s="555">
        <v>2267638006</v>
      </c>
      <c r="H20" s="950">
        <v>1515586310</v>
      </c>
      <c r="I20" s="950">
        <v>671697561</v>
      </c>
      <c r="J20" s="489">
        <f t="shared" ref="J20:J26" si="3">SUM(I20/H20*100)</f>
        <v>44.319320949791376</v>
      </c>
    </row>
    <row r="21" spans="1:10" ht="13.5" thickBot="1" x14ac:dyDescent="0.25">
      <c r="A21" s="943" t="s">
        <v>93</v>
      </c>
      <c r="B21" s="1105">
        <f>'Mérleg 5.mell.'!D56</f>
        <v>13426123</v>
      </c>
      <c r="C21" s="1105">
        <f>'Mérleg 5.mell.'!E56</f>
        <v>45391427</v>
      </c>
      <c r="D21" s="1212">
        <f>'Mérleg 5.mell.'!F56</f>
        <v>39441130</v>
      </c>
      <c r="E21" s="554">
        <f t="shared" ref="E21:E23" si="4">SUM(D21/C21*100)</f>
        <v>86.891143563298854</v>
      </c>
      <c r="F21" s="557" t="s">
        <v>71</v>
      </c>
      <c r="G21" s="555"/>
      <c r="H21" s="950"/>
      <c r="I21" s="950">
        <v>10449365</v>
      </c>
      <c r="J21" s="489"/>
    </row>
    <row r="22" spans="1:10" ht="13.5" thickBot="1" x14ac:dyDescent="0.25">
      <c r="A22" s="943" t="s">
        <v>443</v>
      </c>
      <c r="B22" s="1470">
        <f>'Mérleg 5.mell.'!D57</f>
        <v>0</v>
      </c>
      <c r="C22" s="572">
        <f>'Mérleg 5.mell.'!E57</f>
        <v>1207165</v>
      </c>
      <c r="D22" s="1213">
        <f>'Mérleg 5.mell.'!F57</f>
        <v>1207165</v>
      </c>
      <c r="E22" s="554">
        <f t="shared" si="4"/>
        <v>100</v>
      </c>
      <c r="F22" s="559" t="s">
        <v>51</v>
      </c>
      <c r="G22" s="555">
        <v>40735717</v>
      </c>
      <c r="H22" s="950"/>
      <c r="I22" s="950"/>
      <c r="J22" s="489"/>
    </row>
    <row r="23" spans="1:10" ht="13.5" thickBot="1" x14ac:dyDescent="0.25">
      <c r="A23" s="943" t="s">
        <v>103</v>
      </c>
      <c r="B23" s="572">
        <f>'Mérleg 5.mell.'!D60</f>
        <v>10449365</v>
      </c>
      <c r="C23" s="572">
        <f>'Mérleg 5.mell.'!E60</f>
        <v>10449365</v>
      </c>
      <c r="D23" s="1213">
        <f>'Mérleg 5.mell.'!F60</f>
        <v>10449365</v>
      </c>
      <c r="E23" s="554">
        <f t="shared" si="4"/>
        <v>100</v>
      </c>
      <c r="F23" s="557" t="s">
        <v>72</v>
      </c>
      <c r="G23" s="557">
        <v>25679000</v>
      </c>
      <c r="H23" s="572">
        <v>26688031</v>
      </c>
      <c r="I23" s="572">
        <v>53524882</v>
      </c>
      <c r="J23" s="489">
        <f t="shared" si="3"/>
        <v>200.5576282491578</v>
      </c>
    </row>
    <row r="24" spans="1:10" ht="13.5" thickBot="1" x14ac:dyDescent="0.25">
      <c r="A24" s="943" t="s">
        <v>446</v>
      </c>
      <c r="B24" s="1470">
        <v>2668247</v>
      </c>
      <c r="C24" s="1470">
        <f>'Mérleg 5.mell.'!E54</f>
        <v>2260997</v>
      </c>
      <c r="D24" s="1214">
        <f>'Mérleg 5.mell.'!F54</f>
        <v>0</v>
      </c>
      <c r="E24" s="554"/>
      <c r="F24" s="557" t="s">
        <v>444</v>
      </c>
      <c r="G24" s="557">
        <v>0</v>
      </c>
      <c r="H24" s="572"/>
      <c r="I24" s="572"/>
      <c r="J24" s="489"/>
    </row>
    <row r="25" spans="1:10" ht="13.5" thickBot="1" x14ac:dyDescent="0.25">
      <c r="A25" s="944"/>
      <c r="B25" s="1471"/>
      <c r="C25" s="1471"/>
      <c r="D25" s="947"/>
      <c r="E25" s="554"/>
      <c r="F25" s="571" t="s">
        <v>445</v>
      </c>
      <c r="G25" s="557">
        <f>G27+G26</f>
        <v>214581401</v>
      </c>
      <c r="H25" s="557">
        <f>H27+H26</f>
        <v>224710007</v>
      </c>
      <c r="I25" s="557">
        <f>SUM(I27+I26)</f>
        <v>1011686202</v>
      </c>
      <c r="J25" s="489">
        <f t="shared" si="3"/>
        <v>450.21857971816985</v>
      </c>
    </row>
    <row r="26" spans="1:10" ht="13.5" thickBot="1" x14ac:dyDescent="0.25">
      <c r="A26" s="943"/>
      <c r="B26" s="1472"/>
      <c r="C26" s="1472"/>
      <c r="D26" s="489"/>
      <c r="E26" s="554"/>
      <c r="F26" s="557" t="s">
        <v>447</v>
      </c>
      <c r="G26" s="557">
        <v>98439274</v>
      </c>
      <c r="H26" s="572">
        <v>98439274</v>
      </c>
      <c r="I26" s="572">
        <v>48633958</v>
      </c>
      <c r="J26" s="489">
        <f t="shared" si="3"/>
        <v>49.405035230146048</v>
      </c>
    </row>
    <row r="27" spans="1:10" ht="13.5" thickBot="1" x14ac:dyDescent="0.25">
      <c r="A27" s="945"/>
      <c r="B27" s="1473"/>
      <c r="C27" s="1473"/>
      <c r="D27" s="948"/>
      <c r="E27" s="554"/>
      <c r="F27" s="559" t="s">
        <v>535</v>
      </c>
      <c r="G27" s="941">
        <v>116142127</v>
      </c>
      <c r="H27" s="572">
        <v>126270733</v>
      </c>
      <c r="I27" s="572">
        <v>963052244</v>
      </c>
      <c r="J27" s="489"/>
    </row>
    <row r="28" spans="1:10" ht="13.5" thickBot="1" x14ac:dyDescent="0.25">
      <c r="A28" s="809" t="s">
        <v>338</v>
      </c>
      <c r="B28" s="1474">
        <f>SUM(B20:B27)</f>
        <v>2548634124</v>
      </c>
      <c r="C28" s="1474">
        <f>SUM(C20:C27)</f>
        <v>1766984348</v>
      </c>
      <c r="D28" s="946">
        <f>SUM(D20:D27)</f>
        <v>894515819</v>
      </c>
      <c r="E28" s="563">
        <f>SUM(D28/C28*100)</f>
        <v>50.623867722002025</v>
      </c>
      <c r="F28" s="573" t="s">
        <v>339</v>
      </c>
      <c r="G28" s="949">
        <f>SUM(G19:G25)</f>
        <v>2548634124</v>
      </c>
      <c r="H28" s="949">
        <f t="shared" ref="H28" si="5">SUM(H19:H25)</f>
        <v>1766984348</v>
      </c>
      <c r="I28" s="949">
        <f>I25+I24+I23+I22+I21+I20+I19</f>
        <v>1764358009</v>
      </c>
      <c r="J28" s="562">
        <f>SUM(I28/H28*100)</f>
        <v>99.85136602919134</v>
      </c>
    </row>
    <row r="29" spans="1:10" ht="13.5" thickBot="1" x14ac:dyDescent="0.25">
      <c r="A29" s="485"/>
      <c r="B29" s="962"/>
      <c r="C29" s="962"/>
      <c r="D29" s="487"/>
      <c r="E29" s="562"/>
      <c r="F29" s="488"/>
      <c r="G29" s="486"/>
      <c r="H29" s="962"/>
      <c r="I29" s="967"/>
      <c r="J29" s="486"/>
    </row>
    <row r="30" spans="1:10" ht="13.5" thickBot="1" x14ac:dyDescent="0.25">
      <c r="A30" s="561" t="s">
        <v>340</v>
      </c>
      <c r="B30" s="961">
        <f>SUM(B16+B28)</f>
        <v>3102622775</v>
      </c>
      <c r="C30" s="961">
        <f>SUM(C16+C28)</f>
        <v>3412141985</v>
      </c>
      <c r="D30" s="562">
        <f>SUM(D16+D28)</f>
        <v>2033141125</v>
      </c>
      <c r="E30" s="562">
        <f>SUM(D30/C30*100)</f>
        <v>59.585478386826274</v>
      </c>
      <c r="F30" s="573" t="s">
        <v>340</v>
      </c>
      <c r="G30" s="562">
        <f>SUM(G16+G28)</f>
        <v>2755543603</v>
      </c>
      <c r="H30" s="961">
        <f>SUM(H16+H28)</f>
        <v>3412141985</v>
      </c>
      <c r="I30" s="961">
        <f>SUM(I16+I28)</f>
        <v>2817691914</v>
      </c>
      <c r="J30" s="562">
        <f>SUM(I30/H30*100)</f>
        <v>82.578389949385411</v>
      </c>
    </row>
    <row r="32" spans="1:10" x14ac:dyDescent="0.2">
      <c r="B32" s="2"/>
      <c r="C32" s="2"/>
      <c r="D32" s="2"/>
      <c r="I32" s="968"/>
    </row>
    <row r="34" spans="2:3" x14ac:dyDescent="0.2">
      <c r="B34" s="2"/>
      <c r="C34" s="2"/>
    </row>
  </sheetData>
  <mergeCells count="2">
    <mergeCell ref="A1:J1"/>
    <mergeCell ref="H3:J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&amp;R6. sz. melléklet
..../2020.(VI.25.) Önk rend.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Normal="100" workbookViewId="0">
      <selection activeCell="E31" sqref="E31"/>
    </sheetView>
  </sheetViews>
  <sheetFormatPr defaultColWidth="9.140625" defaultRowHeight="12.75" x14ac:dyDescent="0.2"/>
  <cols>
    <col min="1" max="1" width="3.42578125" style="350" customWidth="1"/>
    <col min="2" max="2" width="6.5703125" style="350" customWidth="1"/>
    <col min="3" max="3" width="68.7109375" style="350" customWidth="1"/>
    <col min="4" max="4" width="19.85546875" style="353" bestFit="1" customWidth="1"/>
    <col min="5" max="6" width="9.140625" style="350"/>
    <col min="7" max="7" width="12.5703125" style="350" customWidth="1"/>
    <col min="8" max="16384" width="9.140625" style="350"/>
  </cols>
  <sheetData>
    <row r="2" spans="2:7" x14ac:dyDescent="0.2">
      <c r="B2" s="1619" t="s">
        <v>500</v>
      </c>
      <c r="C2" s="1619"/>
      <c r="D2" s="1619"/>
    </row>
    <row r="3" spans="2:7" ht="15.75" x14ac:dyDescent="0.25">
      <c r="B3" s="1620" t="s">
        <v>658</v>
      </c>
      <c r="C3" s="1620"/>
      <c r="D3" s="1620"/>
      <c r="E3" s="351"/>
      <c r="F3" s="351"/>
    </row>
    <row r="4" spans="2:7" ht="15.75" x14ac:dyDescent="0.25">
      <c r="B4" s="352"/>
      <c r="C4" s="352"/>
      <c r="D4" s="352"/>
      <c r="E4" s="351"/>
      <c r="F4" s="351"/>
    </row>
    <row r="5" spans="2:7" ht="15.75" x14ac:dyDescent="0.25">
      <c r="B5" s="1621" t="s">
        <v>179</v>
      </c>
      <c r="C5" s="1621"/>
      <c r="D5" s="352"/>
      <c r="E5" s="351"/>
      <c r="F5" s="351"/>
    </row>
    <row r="6" spans="2:7" ht="15.75" x14ac:dyDescent="0.25">
      <c r="B6" s="352"/>
      <c r="C6" s="352"/>
      <c r="D6" s="352"/>
      <c r="E6" s="351"/>
      <c r="F6" s="351"/>
    </row>
    <row r="7" spans="2:7" ht="13.5" thickBot="1" x14ac:dyDescent="0.25">
      <c r="B7" s="1622" t="s">
        <v>529</v>
      </c>
      <c r="C7" s="1622"/>
      <c r="D7" s="1622"/>
      <c r="E7" s="353"/>
    </row>
    <row r="8" spans="2:7" ht="32.25" thickBot="1" x14ac:dyDescent="0.3">
      <c r="B8" s="354" t="s">
        <v>23</v>
      </c>
      <c r="C8" s="355" t="s">
        <v>180</v>
      </c>
      <c r="D8" s="356" t="s">
        <v>181</v>
      </c>
      <c r="G8" s="353"/>
    </row>
    <row r="9" spans="2:7" ht="15.75" x14ac:dyDescent="0.25">
      <c r="B9" s="357" t="s">
        <v>0</v>
      </c>
      <c r="C9" s="358" t="s">
        <v>342</v>
      </c>
      <c r="D9" s="359">
        <v>1642662578</v>
      </c>
    </row>
    <row r="10" spans="2:7" ht="16.5" thickBot="1" x14ac:dyDescent="0.3">
      <c r="B10" s="360" t="s">
        <v>4</v>
      </c>
      <c r="C10" s="361" t="s">
        <v>343</v>
      </c>
      <c r="D10" s="362">
        <v>1802978521</v>
      </c>
    </row>
    <row r="11" spans="2:7" s="366" customFormat="1" ht="16.5" thickBot="1" x14ac:dyDescent="0.3">
      <c r="B11" s="363" t="s">
        <v>8</v>
      </c>
      <c r="C11" s="364" t="s">
        <v>344</v>
      </c>
      <c r="D11" s="365">
        <f>D9-D10</f>
        <v>-160315943</v>
      </c>
    </row>
    <row r="12" spans="2:7" s="370" customFormat="1" ht="15.75" x14ac:dyDescent="0.25">
      <c r="B12" s="367" t="s">
        <v>2</v>
      </c>
      <c r="C12" s="368" t="s">
        <v>345</v>
      </c>
      <c r="D12" s="369">
        <v>1164274652</v>
      </c>
    </row>
    <row r="13" spans="2:7" s="366" customFormat="1" ht="16.5" thickBot="1" x14ac:dyDescent="0.3">
      <c r="B13" s="494" t="s">
        <v>5</v>
      </c>
      <c r="C13" s="361" t="s">
        <v>346</v>
      </c>
      <c r="D13" s="362">
        <v>219513435</v>
      </c>
    </row>
    <row r="14" spans="2:7" ht="16.5" thickBot="1" x14ac:dyDescent="0.3">
      <c r="B14" s="496" t="s">
        <v>9</v>
      </c>
      <c r="C14" s="497" t="s">
        <v>347</v>
      </c>
      <c r="D14" s="498">
        <f>D12-D13</f>
        <v>944761217</v>
      </c>
    </row>
    <row r="15" spans="2:7" s="371" customFormat="1" ht="15.75" x14ac:dyDescent="0.25">
      <c r="B15" s="499" t="s">
        <v>3</v>
      </c>
      <c r="C15" s="500" t="s">
        <v>348</v>
      </c>
      <c r="D15" s="501">
        <f>D11+D14</f>
        <v>784445274</v>
      </c>
    </row>
    <row r="16" spans="2:7" s="370" customFormat="1" ht="15.75" x14ac:dyDescent="0.25">
      <c r="B16" s="372" t="s">
        <v>10</v>
      </c>
      <c r="C16" s="373" t="s">
        <v>349</v>
      </c>
      <c r="D16" s="374">
        <v>0</v>
      </c>
    </row>
    <row r="17" spans="2:4" s="370" customFormat="1" ht="16.5" thickBot="1" x14ac:dyDescent="0.3">
      <c r="B17" s="502" t="s">
        <v>6</v>
      </c>
      <c r="C17" s="503" t="s">
        <v>350</v>
      </c>
      <c r="D17" s="504">
        <v>0</v>
      </c>
    </row>
    <row r="18" spans="2:4" s="370" customFormat="1" ht="16.5" thickBot="1" x14ac:dyDescent="0.3">
      <c r="B18" s="505" t="s">
        <v>1</v>
      </c>
      <c r="C18" s="506" t="s">
        <v>351</v>
      </c>
      <c r="D18" s="507">
        <f>D16-D17</f>
        <v>0</v>
      </c>
    </row>
    <row r="19" spans="2:4" ht="15.75" x14ac:dyDescent="0.25">
      <c r="B19" s="508" t="s">
        <v>7</v>
      </c>
      <c r="C19" s="509" t="s">
        <v>352</v>
      </c>
      <c r="D19" s="510">
        <v>0</v>
      </c>
    </row>
    <row r="20" spans="2:4" ht="16.5" thickBot="1" x14ac:dyDescent="0.3">
      <c r="B20" s="502" t="s">
        <v>15</v>
      </c>
      <c r="C20" s="503" t="s">
        <v>353</v>
      </c>
      <c r="D20" s="504">
        <v>0</v>
      </c>
    </row>
    <row r="21" spans="2:4" s="366" customFormat="1" ht="16.5" thickBot="1" x14ac:dyDescent="0.3">
      <c r="B21" s="496" t="s">
        <v>13</v>
      </c>
      <c r="C21" s="497" t="s">
        <v>354</v>
      </c>
      <c r="D21" s="498">
        <f>D19-D20</f>
        <v>0</v>
      </c>
    </row>
    <row r="22" spans="2:4" s="366" customFormat="1" ht="16.5" thickBot="1" x14ac:dyDescent="0.3">
      <c r="B22" s="505" t="s">
        <v>25</v>
      </c>
      <c r="C22" s="506" t="s">
        <v>355</v>
      </c>
      <c r="D22" s="507">
        <f>D18+D21</f>
        <v>0</v>
      </c>
    </row>
    <row r="23" spans="2:4" s="366" customFormat="1" ht="16.5" thickBot="1" x14ac:dyDescent="0.3">
      <c r="B23" s="511" t="s">
        <v>28</v>
      </c>
      <c r="C23" s="512" t="s">
        <v>356</v>
      </c>
      <c r="D23" s="513">
        <f>D15+D22</f>
        <v>784445274</v>
      </c>
    </row>
    <row r="24" spans="2:4" s="366" customFormat="1" ht="16.5" thickBot="1" x14ac:dyDescent="0.3">
      <c r="B24" s="514" t="s">
        <v>26</v>
      </c>
      <c r="C24" s="515" t="s">
        <v>357</v>
      </c>
      <c r="D24" s="516"/>
    </row>
    <row r="25" spans="2:4" s="366" customFormat="1" ht="16.5" thickBot="1" x14ac:dyDescent="0.3">
      <c r="B25" s="378" t="s">
        <v>29</v>
      </c>
      <c r="C25" s="378" t="s">
        <v>358</v>
      </c>
      <c r="D25" s="379">
        <f>SUM(D23-D24)</f>
        <v>784445274</v>
      </c>
    </row>
    <row r="26" spans="2:4" s="366" customFormat="1" ht="16.5" thickBot="1" x14ac:dyDescent="0.3">
      <c r="B26" s="375" t="s">
        <v>30</v>
      </c>
      <c r="C26" s="376" t="s">
        <v>359</v>
      </c>
      <c r="D26" s="377">
        <f>D22*0.1</f>
        <v>0</v>
      </c>
    </row>
    <row r="27" spans="2:4" ht="16.5" thickBot="1" x14ac:dyDescent="0.3">
      <c r="B27" s="375" t="s">
        <v>31</v>
      </c>
      <c r="C27" s="376" t="s">
        <v>360</v>
      </c>
      <c r="D27" s="377">
        <f>D22-D26</f>
        <v>0</v>
      </c>
    </row>
  </sheetData>
  <mergeCells count="4">
    <mergeCell ref="B2:D2"/>
    <mergeCell ref="B3:D3"/>
    <mergeCell ref="B5:C5"/>
    <mergeCell ref="B7:D7"/>
  </mergeCells>
  <pageMargins left="0.75" right="0.75" top="1" bottom="1" header="0.5" footer="0.51180555555555562"/>
  <pageSetup paperSize="9" scale="89" firstPageNumber="0" orientation="portrait" r:id="rId1"/>
  <headerFooter alignWithMargins="0">
    <oddHeader>&amp;R7.1.sz. melléklet
......./2020.(VI.25.)Egyek Önk.r.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Normal="100" workbookViewId="0">
      <selection activeCell="D25" sqref="D25"/>
    </sheetView>
  </sheetViews>
  <sheetFormatPr defaultColWidth="9.140625" defaultRowHeight="12.75" x14ac:dyDescent="0.2"/>
  <cols>
    <col min="1" max="1" width="3.140625" style="350" customWidth="1"/>
    <col min="2" max="2" width="6.5703125" style="350" customWidth="1"/>
    <col min="3" max="3" width="65.140625" style="350" customWidth="1"/>
    <col min="4" max="4" width="18.140625" style="353" customWidth="1"/>
    <col min="5" max="6" width="9.140625" style="350"/>
    <col min="7" max="7" width="12.5703125" style="350" customWidth="1"/>
    <col min="8" max="16384" width="9.140625" style="350"/>
  </cols>
  <sheetData>
    <row r="2" spans="2:7" x14ac:dyDescent="0.2">
      <c r="B2" s="1619" t="s">
        <v>501</v>
      </c>
      <c r="C2" s="1619"/>
      <c r="D2" s="1619"/>
    </row>
    <row r="3" spans="2:7" ht="15.75" x14ac:dyDescent="0.25">
      <c r="B3" s="1620" t="s">
        <v>658</v>
      </c>
      <c r="C3" s="1620"/>
      <c r="D3" s="1620"/>
      <c r="E3" s="351"/>
      <c r="F3" s="351"/>
    </row>
    <row r="4" spans="2:7" ht="15.75" x14ac:dyDescent="0.25">
      <c r="B4" s="352"/>
      <c r="C4" s="352"/>
      <c r="D4" s="352"/>
      <c r="E4" s="351"/>
      <c r="F4" s="351"/>
    </row>
    <row r="5" spans="2:7" ht="15.75" x14ac:dyDescent="0.25">
      <c r="B5" s="1621" t="s">
        <v>510</v>
      </c>
      <c r="C5" s="1621"/>
      <c r="D5" s="352"/>
      <c r="E5" s="351"/>
      <c r="F5" s="351"/>
    </row>
    <row r="6" spans="2:7" ht="15.75" x14ac:dyDescent="0.25">
      <c r="B6" s="410"/>
      <c r="C6" s="410"/>
      <c r="D6" s="352"/>
      <c r="E6" s="351"/>
      <c r="F6" s="351"/>
    </row>
    <row r="7" spans="2:7" ht="16.5" thickBot="1" x14ac:dyDescent="0.3">
      <c r="B7" s="352"/>
      <c r="C7" s="1623" t="s">
        <v>184</v>
      </c>
      <c r="D7" s="1623"/>
      <c r="E7" s="351"/>
      <c r="F7" s="351"/>
    </row>
    <row r="8" spans="2:7" ht="32.25" thickBot="1" x14ac:dyDescent="0.3">
      <c r="B8" s="354" t="s">
        <v>23</v>
      </c>
      <c r="C8" s="355" t="s">
        <v>180</v>
      </c>
      <c r="D8" s="356" t="s">
        <v>181</v>
      </c>
      <c r="E8" s="353"/>
    </row>
    <row r="9" spans="2:7" ht="15.75" x14ac:dyDescent="0.25">
      <c r="B9" s="357" t="s">
        <v>0</v>
      </c>
      <c r="C9" s="358" t="s">
        <v>342</v>
      </c>
      <c r="D9" s="359">
        <v>585791</v>
      </c>
      <c r="G9" s="353"/>
    </row>
    <row r="10" spans="2:7" ht="16.5" thickBot="1" x14ac:dyDescent="0.3">
      <c r="B10" s="360" t="s">
        <v>4</v>
      </c>
      <c r="C10" s="361" t="s">
        <v>343</v>
      </c>
      <c r="D10" s="362">
        <v>96964833</v>
      </c>
    </row>
    <row r="11" spans="2:7" ht="16.5" thickBot="1" x14ac:dyDescent="0.3">
      <c r="B11" s="363" t="s">
        <v>8</v>
      </c>
      <c r="C11" s="364" t="s">
        <v>344</v>
      </c>
      <c r="D11" s="365">
        <f>D9-D10</f>
        <v>-96379042</v>
      </c>
    </row>
    <row r="12" spans="2:7" s="366" customFormat="1" ht="15.75" x14ac:dyDescent="0.25">
      <c r="B12" s="367" t="s">
        <v>2</v>
      </c>
      <c r="C12" s="368" t="s">
        <v>345</v>
      </c>
      <c r="D12" s="369">
        <v>96444116</v>
      </c>
    </row>
    <row r="13" spans="2:7" s="370" customFormat="1" ht="16.5" thickBot="1" x14ac:dyDescent="0.3">
      <c r="B13" s="494" t="s">
        <v>5</v>
      </c>
      <c r="C13" s="361" t="s">
        <v>346</v>
      </c>
      <c r="D13" s="741">
        <v>0</v>
      </c>
    </row>
    <row r="14" spans="2:7" s="366" customFormat="1" ht="16.5" thickBot="1" x14ac:dyDescent="0.3">
      <c r="B14" s="496" t="s">
        <v>9</v>
      </c>
      <c r="C14" s="497" t="s">
        <v>347</v>
      </c>
      <c r="D14" s="498">
        <f>D12-D13</f>
        <v>96444116</v>
      </c>
    </row>
    <row r="15" spans="2:7" ht="15.75" x14ac:dyDescent="0.25">
      <c r="B15" s="499" t="s">
        <v>3</v>
      </c>
      <c r="C15" s="500" t="s">
        <v>348</v>
      </c>
      <c r="D15" s="501">
        <f>D11+D14</f>
        <v>65074</v>
      </c>
    </row>
    <row r="16" spans="2:7" s="371" customFormat="1" ht="15.75" x14ac:dyDescent="0.25">
      <c r="B16" s="372" t="s">
        <v>10</v>
      </c>
      <c r="C16" s="373" t="s">
        <v>349</v>
      </c>
      <c r="D16" s="374">
        <v>0</v>
      </c>
    </row>
    <row r="17" spans="2:4" s="370" customFormat="1" ht="16.5" thickBot="1" x14ac:dyDescent="0.3">
      <c r="B17" s="502" t="s">
        <v>6</v>
      </c>
      <c r="C17" s="503" t="s">
        <v>350</v>
      </c>
      <c r="D17" s="504">
        <v>0</v>
      </c>
    </row>
    <row r="18" spans="2:4" s="370" customFormat="1" ht="16.5" thickBot="1" x14ac:dyDescent="0.3">
      <c r="B18" s="505" t="s">
        <v>1</v>
      </c>
      <c r="C18" s="506" t="s">
        <v>351</v>
      </c>
      <c r="D18" s="507">
        <f>D16-D17</f>
        <v>0</v>
      </c>
    </row>
    <row r="19" spans="2:4" s="370" customFormat="1" ht="15.75" x14ac:dyDescent="0.25">
      <c r="B19" s="508" t="s">
        <v>7</v>
      </c>
      <c r="C19" s="509" t="s">
        <v>352</v>
      </c>
      <c r="D19" s="510">
        <v>0</v>
      </c>
    </row>
    <row r="20" spans="2:4" ht="16.5" thickBot="1" x14ac:dyDescent="0.3">
      <c r="B20" s="502" t="s">
        <v>15</v>
      </c>
      <c r="C20" s="503" t="s">
        <v>353</v>
      </c>
      <c r="D20" s="504">
        <v>0</v>
      </c>
    </row>
    <row r="21" spans="2:4" ht="16.5" thickBot="1" x14ac:dyDescent="0.3">
      <c r="B21" s="496" t="s">
        <v>13</v>
      </c>
      <c r="C21" s="497" t="s">
        <v>354</v>
      </c>
      <c r="D21" s="498">
        <f>D19-D20</f>
        <v>0</v>
      </c>
    </row>
    <row r="22" spans="2:4" s="366" customFormat="1" ht="16.5" thickBot="1" x14ac:dyDescent="0.3">
      <c r="B22" s="505" t="s">
        <v>25</v>
      </c>
      <c r="C22" s="506" t="s">
        <v>355</v>
      </c>
      <c r="D22" s="507">
        <f>D18+D21</f>
        <v>0</v>
      </c>
    </row>
    <row r="23" spans="2:4" s="366" customFormat="1" ht="16.5" thickBot="1" x14ac:dyDescent="0.3">
      <c r="B23" s="511" t="s">
        <v>28</v>
      </c>
      <c r="C23" s="512" t="s">
        <v>356</v>
      </c>
      <c r="D23" s="513">
        <f>D15+D22</f>
        <v>65074</v>
      </c>
    </row>
    <row r="24" spans="2:4" s="366" customFormat="1" ht="16.5" thickBot="1" x14ac:dyDescent="0.3">
      <c r="B24" s="514" t="s">
        <v>26</v>
      </c>
      <c r="C24" s="515" t="s">
        <v>357</v>
      </c>
      <c r="D24" s="516">
        <v>65074</v>
      </c>
    </row>
    <row r="25" spans="2:4" s="366" customFormat="1" ht="16.5" thickBot="1" x14ac:dyDescent="0.3">
      <c r="B25" s="378" t="s">
        <v>29</v>
      </c>
      <c r="C25" s="378" t="s">
        <v>358</v>
      </c>
      <c r="D25" s="379"/>
    </row>
    <row r="26" spans="2:4" ht="16.5" thickBot="1" x14ac:dyDescent="0.3">
      <c r="B26" s="375" t="s">
        <v>30</v>
      </c>
      <c r="C26" s="376" t="s">
        <v>359</v>
      </c>
      <c r="D26" s="377">
        <f>D22*0.1</f>
        <v>0</v>
      </c>
    </row>
    <row r="27" spans="2:4" ht="16.5" thickBot="1" x14ac:dyDescent="0.3">
      <c r="B27" s="375" t="s">
        <v>31</v>
      </c>
      <c r="C27" s="376" t="s">
        <v>360</v>
      </c>
      <c r="D27" s="377">
        <f>D22-D26</f>
        <v>0</v>
      </c>
    </row>
  </sheetData>
  <mergeCells count="4">
    <mergeCell ref="B2:D2"/>
    <mergeCell ref="B3:D3"/>
    <mergeCell ref="B5:C5"/>
    <mergeCell ref="C7:D7"/>
  </mergeCells>
  <pageMargins left="0.75" right="0.51531249999999995" top="1" bottom="1" header="0.5" footer="0.51180555555555562"/>
  <pageSetup paperSize="9" scale="97" firstPageNumber="0" orientation="portrait" horizontalDpi="300" verticalDpi="300" r:id="rId1"/>
  <headerFooter alignWithMargins="0">
    <oddHeader>&amp;R7.2.sz. melléklet
......./2020.(VI.25.)Egyek Önk.r.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zoomScaleNormal="100" workbookViewId="0">
      <selection activeCell="D27" sqref="D27"/>
    </sheetView>
  </sheetViews>
  <sheetFormatPr defaultColWidth="9.140625" defaultRowHeight="12.75" x14ac:dyDescent="0.2"/>
  <cols>
    <col min="1" max="1" width="1.42578125" style="350" customWidth="1"/>
    <col min="2" max="2" width="6.140625" style="350" customWidth="1"/>
    <col min="3" max="3" width="65.28515625" style="350" customWidth="1"/>
    <col min="4" max="4" width="16.85546875" style="353" customWidth="1"/>
    <col min="5" max="6" width="9.140625" style="350"/>
    <col min="7" max="7" width="12.5703125" style="350" customWidth="1"/>
    <col min="8" max="16384" width="9.140625" style="350"/>
  </cols>
  <sheetData>
    <row r="2" spans="2:7" x14ac:dyDescent="0.2">
      <c r="B2" s="1619" t="s">
        <v>502</v>
      </c>
      <c r="C2" s="1619"/>
      <c r="D2" s="1619"/>
    </row>
    <row r="3" spans="2:7" ht="15.75" x14ac:dyDescent="0.25">
      <c r="B3" s="1620" t="s">
        <v>658</v>
      </c>
      <c r="C3" s="1620"/>
      <c r="D3" s="1620"/>
      <c r="E3" s="351"/>
      <c r="F3" s="351"/>
    </row>
    <row r="4" spans="2:7" ht="15.75" x14ac:dyDescent="0.25">
      <c r="B4" s="352"/>
      <c r="C4" s="352"/>
      <c r="D4" s="352"/>
      <c r="E4" s="351"/>
      <c r="F4" s="351"/>
    </row>
    <row r="5" spans="2:7" ht="15.75" x14ac:dyDescent="0.25">
      <c r="B5" s="1621" t="s">
        <v>153</v>
      </c>
      <c r="C5" s="1621"/>
      <c r="D5" s="352"/>
      <c r="E5" s="351"/>
      <c r="F5" s="351"/>
    </row>
    <row r="6" spans="2:7" ht="15.75" x14ac:dyDescent="0.25">
      <c r="B6" s="352"/>
      <c r="C6" s="352"/>
      <c r="D6" s="352"/>
      <c r="E6" s="351"/>
      <c r="F6" s="351"/>
    </row>
    <row r="7" spans="2:7" ht="15.75" x14ac:dyDescent="0.25">
      <c r="B7" s="352"/>
      <c r="C7" s="352"/>
      <c r="D7" s="352"/>
      <c r="E7" s="351"/>
      <c r="F7" s="351"/>
    </row>
    <row r="8" spans="2:7" ht="13.5" thickBot="1" x14ac:dyDescent="0.25">
      <c r="B8" s="1622"/>
      <c r="C8" s="1622"/>
      <c r="D8" s="1622"/>
      <c r="E8" s="353"/>
    </row>
    <row r="9" spans="2:7" ht="13.5" thickBot="1" x14ac:dyDescent="0.25">
      <c r="B9" s="1622" t="s">
        <v>184</v>
      </c>
      <c r="C9" s="1622"/>
      <c r="D9" s="1622"/>
      <c r="G9" s="353"/>
    </row>
    <row r="10" spans="2:7" ht="32.25" thickBot="1" x14ac:dyDescent="0.3">
      <c r="B10" s="354" t="s">
        <v>23</v>
      </c>
      <c r="C10" s="355" t="s">
        <v>180</v>
      </c>
      <c r="D10" s="356" t="s">
        <v>181</v>
      </c>
    </row>
    <row r="11" spans="2:7" ht="15.75" x14ac:dyDescent="0.25">
      <c r="B11" s="357" t="s">
        <v>0</v>
      </c>
      <c r="C11" s="358" t="s">
        <v>342</v>
      </c>
      <c r="D11" s="359">
        <v>713902</v>
      </c>
    </row>
    <row r="12" spans="2:7" s="366" customFormat="1" ht="16.5" thickBot="1" x14ac:dyDescent="0.3">
      <c r="B12" s="360" t="s">
        <v>4</v>
      </c>
      <c r="C12" s="361" t="s">
        <v>343</v>
      </c>
      <c r="D12" s="362">
        <v>11061183</v>
      </c>
    </row>
    <row r="13" spans="2:7" s="370" customFormat="1" ht="16.5" thickBot="1" x14ac:dyDescent="0.3">
      <c r="B13" s="363" t="s">
        <v>8</v>
      </c>
      <c r="C13" s="364" t="s">
        <v>344</v>
      </c>
      <c r="D13" s="365">
        <f>D11-D12</f>
        <v>-10347281</v>
      </c>
    </row>
    <row r="14" spans="2:7" s="366" customFormat="1" ht="15.75" x14ac:dyDescent="0.25">
      <c r="B14" s="367" t="s">
        <v>2</v>
      </c>
      <c r="C14" s="368" t="s">
        <v>345</v>
      </c>
      <c r="D14" s="369">
        <v>10438395</v>
      </c>
    </row>
    <row r="15" spans="2:7" ht="16.5" thickBot="1" x14ac:dyDescent="0.3">
      <c r="B15" s="494" t="s">
        <v>5</v>
      </c>
      <c r="C15" s="361" t="s">
        <v>346</v>
      </c>
      <c r="D15" s="495"/>
    </row>
    <row r="16" spans="2:7" s="371" customFormat="1" ht="16.5" thickBot="1" x14ac:dyDescent="0.3">
      <c r="B16" s="496" t="s">
        <v>9</v>
      </c>
      <c r="C16" s="497" t="s">
        <v>347</v>
      </c>
      <c r="D16" s="498">
        <f>D14-D15</f>
        <v>10438395</v>
      </c>
    </row>
    <row r="17" spans="2:4" s="370" customFormat="1" ht="15.75" x14ac:dyDescent="0.25">
      <c r="B17" s="499" t="s">
        <v>3</v>
      </c>
      <c r="C17" s="500" t="s">
        <v>348</v>
      </c>
      <c r="D17" s="501">
        <f>D13+D16</f>
        <v>91114</v>
      </c>
    </row>
    <row r="18" spans="2:4" s="370" customFormat="1" ht="15.75" x14ac:dyDescent="0.25">
      <c r="B18" s="372" t="s">
        <v>10</v>
      </c>
      <c r="C18" s="373" t="s">
        <v>349</v>
      </c>
      <c r="D18" s="374">
        <v>0</v>
      </c>
    </row>
    <row r="19" spans="2:4" s="370" customFormat="1" ht="16.5" thickBot="1" x14ac:dyDescent="0.3">
      <c r="B19" s="502" t="s">
        <v>6</v>
      </c>
      <c r="C19" s="503" t="s">
        <v>350</v>
      </c>
      <c r="D19" s="504">
        <v>0</v>
      </c>
    </row>
    <row r="20" spans="2:4" ht="16.5" thickBot="1" x14ac:dyDescent="0.3">
      <c r="B20" s="505" t="s">
        <v>1</v>
      </c>
      <c r="C20" s="506" t="s">
        <v>351</v>
      </c>
      <c r="D20" s="507">
        <f>D18-D19</f>
        <v>0</v>
      </c>
    </row>
    <row r="21" spans="2:4" ht="15.75" x14ac:dyDescent="0.25">
      <c r="B21" s="508" t="s">
        <v>7</v>
      </c>
      <c r="C21" s="509" t="s">
        <v>352</v>
      </c>
      <c r="D21" s="510">
        <v>0</v>
      </c>
    </row>
    <row r="22" spans="2:4" s="366" customFormat="1" ht="16.5" thickBot="1" x14ac:dyDescent="0.3">
      <c r="B22" s="502" t="s">
        <v>15</v>
      </c>
      <c r="C22" s="503" t="s">
        <v>353</v>
      </c>
      <c r="D22" s="504">
        <v>0</v>
      </c>
    </row>
    <row r="23" spans="2:4" s="366" customFormat="1" ht="16.5" thickBot="1" x14ac:dyDescent="0.3">
      <c r="B23" s="496" t="s">
        <v>13</v>
      </c>
      <c r="C23" s="497" t="s">
        <v>354</v>
      </c>
      <c r="D23" s="498">
        <f>D21-D22</f>
        <v>0</v>
      </c>
    </row>
    <row r="24" spans="2:4" s="366" customFormat="1" ht="16.5" thickBot="1" x14ac:dyDescent="0.3">
      <c r="B24" s="505" t="s">
        <v>25</v>
      </c>
      <c r="C24" s="506" t="s">
        <v>355</v>
      </c>
      <c r="D24" s="507">
        <f>D20+D23</f>
        <v>0</v>
      </c>
    </row>
    <row r="25" spans="2:4" s="366" customFormat="1" ht="16.5" thickBot="1" x14ac:dyDescent="0.3">
      <c r="B25" s="511" t="s">
        <v>28</v>
      </c>
      <c r="C25" s="512" t="s">
        <v>356</v>
      </c>
      <c r="D25" s="513">
        <f>D17+D24</f>
        <v>91114</v>
      </c>
    </row>
    <row r="26" spans="2:4" ht="16.5" thickBot="1" x14ac:dyDescent="0.3">
      <c r="B26" s="514" t="s">
        <v>26</v>
      </c>
      <c r="C26" s="515" t="s">
        <v>357</v>
      </c>
      <c r="D26" s="516">
        <v>91114</v>
      </c>
    </row>
    <row r="27" spans="2:4" ht="16.5" thickBot="1" x14ac:dyDescent="0.3">
      <c r="B27" s="378" t="s">
        <v>29</v>
      </c>
      <c r="C27" s="378" t="s">
        <v>358</v>
      </c>
      <c r="D27" s="379">
        <v>0</v>
      </c>
    </row>
    <row r="28" spans="2:4" ht="16.5" thickBot="1" x14ac:dyDescent="0.3">
      <c r="B28" s="375" t="s">
        <v>30</v>
      </c>
      <c r="C28" s="376" t="s">
        <v>359</v>
      </c>
      <c r="D28" s="377">
        <f>D24*0.1</f>
        <v>0</v>
      </c>
    </row>
    <row r="29" spans="2:4" ht="16.5" thickBot="1" x14ac:dyDescent="0.3">
      <c r="B29" s="375" t="s">
        <v>31</v>
      </c>
      <c r="C29" s="376" t="s">
        <v>360</v>
      </c>
      <c r="D29" s="377">
        <f>D24-D28</f>
        <v>0</v>
      </c>
    </row>
  </sheetData>
  <mergeCells count="5">
    <mergeCell ref="B2:D2"/>
    <mergeCell ref="B3:D3"/>
    <mergeCell ref="B5:C5"/>
    <mergeCell ref="B8:D8"/>
    <mergeCell ref="B9:D9"/>
  </mergeCells>
  <pageMargins left="0.75" right="0.75" top="1" bottom="1" header="0.5" footer="0.51180555555555562"/>
  <pageSetup paperSize="9" scale="97" firstPageNumber="0" orientation="portrait" horizontalDpi="300" verticalDpi="300" r:id="rId1"/>
  <headerFooter alignWithMargins="0">
    <oddHeader>&amp;R7.3.sz. melléklet
......./2020.(VI.25.)Egyek Önk.r.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3" zoomScale="130" zoomScaleNormal="130" workbookViewId="0">
      <selection activeCell="F20" sqref="F20"/>
    </sheetView>
  </sheetViews>
  <sheetFormatPr defaultColWidth="9.140625" defaultRowHeight="12.75" x14ac:dyDescent="0.2"/>
  <cols>
    <col min="1" max="1" width="2.85546875" style="350" customWidth="1"/>
    <col min="2" max="2" width="63" style="350" customWidth="1"/>
    <col min="3" max="3" width="17.42578125" style="1340" customWidth="1"/>
    <col min="4" max="4" width="22.42578125" style="1340" customWidth="1"/>
    <col min="5" max="5" width="21.7109375" style="1340" customWidth="1"/>
    <col min="6" max="6" width="23.7109375" style="1340" customWidth="1"/>
    <col min="7" max="7" width="19.7109375" style="1340" customWidth="1"/>
    <col min="8" max="16384" width="9.140625" style="350"/>
  </cols>
  <sheetData>
    <row r="1" spans="2:7" x14ac:dyDescent="0.2">
      <c r="B1" s="1625"/>
      <c r="C1" s="1625"/>
      <c r="D1" s="1625"/>
      <c r="E1" s="1625"/>
      <c r="F1" s="1339"/>
    </row>
    <row r="2" spans="2:7" ht="15" x14ac:dyDescent="0.2">
      <c r="B2" s="1626"/>
      <c r="C2" s="1626"/>
      <c r="D2" s="1626"/>
      <c r="E2" s="1626"/>
      <c r="F2" s="1626"/>
    </row>
    <row r="3" spans="2:7" ht="15" x14ac:dyDescent="0.2">
      <c r="B3" s="1627" t="s">
        <v>182</v>
      </c>
      <c r="C3" s="1627"/>
      <c r="D3" s="1627"/>
      <c r="E3" s="1627"/>
      <c r="F3" s="1627"/>
    </row>
    <row r="4" spans="2:7" ht="15" x14ac:dyDescent="0.2">
      <c r="B4" s="1341"/>
      <c r="C4" s="1342"/>
      <c r="D4" s="1342"/>
      <c r="E4" s="1342"/>
      <c r="F4" s="1342"/>
    </row>
    <row r="5" spans="2:7" ht="15.75" x14ac:dyDescent="0.25">
      <c r="B5" s="1628" t="s">
        <v>695</v>
      </c>
      <c r="C5" s="1628"/>
      <c r="D5" s="1628"/>
      <c r="E5" s="1628"/>
      <c r="F5" s="1628"/>
    </row>
    <row r="6" spans="2:7" x14ac:dyDescent="0.2">
      <c r="B6" s="870"/>
      <c r="C6" s="1343"/>
      <c r="D6" s="1343"/>
      <c r="E6" s="1343"/>
      <c r="F6" s="1343"/>
    </row>
    <row r="7" spans="2:7" ht="13.5" thickBot="1" x14ac:dyDescent="0.25">
      <c r="F7" s="1344" t="s">
        <v>184</v>
      </c>
      <c r="G7" s="1345"/>
    </row>
    <row r="8" spans="2:7" ht="64.5" thickBot="1" x14ac:dyDescent="0.25">
      <c r="B8" s="1346" t="s">
        <v>180</v>
      </c>
      <c r="C8" s="1347" t="s">
        <v>696</v>
      </c>
      <c r="D8" s="1347" t="s">
        <v>697</v>
      </c>
      <c r="E8" s="1347" t="s">
        <v>716</v>
      </c>
      <c r="F8" s="1348" t="s">
        <v>183</v>
      </c>
      <c r="G8" s="1349"/>
    </row>
    <row r="9" spans="2:7" x14ac:dyDescent="0.2">
      <c r="B9" s="1350" t="s">
        <v>713</v>
      </c>
      <c r="C9" s="1351">
        <v>139552</v>
      </c>
      <c r="D9" s="1351">
        <v>139552</v>
      </c>
      <c r="E9" s="1352">
        <v>0</v>
      </c>
      <c r="F9" s="1353">
        <f>C9-D9-E9</f>
        <v>0</v>
      </c>
    </row>
    <row r="10" spans="2:7" x14ac:dyDescent="0.2">
      <c r="B10" s="938" t="s">
        <v>698</v>
      </c>
      <c r="C10" s="1354">
        <v>1681600</v>
      </c>
      <c r="D10" s="1354">
        <v>1681600</v>
      </c>
      <c r="E10" s="1355"/>
      <c r="F10" s="1356">
        <f t="shared" ref="F10:F19" si="0">C10-D10-E10</f>
        <v>0</v>
      </c>
    </row>
    <row r="11" spans="2:7" x14ac:dyDescent="0.2">
      <c r="B11" s="873" t="s">
        <v>699</v>
      </c>
      <c r="C11" s="1357">
        <v>123889</v>
      </c>
      <c r="D11" s="1357">
        <v>123889</v>
      </c>
      <c r="E11" s="1355"/>
      <c r="F11" s="1356">
        <f t="shared" si="0"/>
        <v>0</v>
      </c>
    </row>
    <row r="12" spans="2:7" x14ac:dyDescent="0.2">
      <c r="B12" s="873" t="s">
        <v>492</v>
      </c>
      <c r="C12" s="1357">
        <v>57422165</v>
      </c>
      <c r="D12" s="1357">
        <v>57422165</v>
      </c>
      <c r="E12" s="1355"/>
      <c r="F12" s="1356">
        <f t="shared" si="0"/>
        <v>0</v>
      </c>
    </row>
    <row r="13" spans="2:7" ht="25.5" x14ac:dyDescent="0.2">
      <c r="B13" s="938" t="s">
        <v>365</v>
      </c>
      <c r="C13" s="1354">
        <v>6520690</v>
      </c>
      <c r="D13" s="1354">
        <v>6520690</v>
      </c>
      <c r="E13" s="1355"/>
      <c r="F13" s="1356">
        <f>C13-D13-E13</f>
        <v>0</v>
      </c>
    </row>
    <row r="14" spans="2:7" x14ac:dyDescent="0.2">
      <c r="B14" s="938" t="s">
        <v>700</v>
      </c>
      <c r="C14" s="1354">
        <v>534004</v>
      </c>
      <c r="D14" s="1354">
        <v>518716</v>
      </c>
      <c r="E14" s="1355"/>
      <c r="F14" s="1356">
        <f>C14-D14-E14</f>
        <v>15288</v>
      </c>
    </row>
    <row r="15" spans="2:7" ht="25.5" x14ac:dyDescent="0.2">
      <c r="B15" s="872" t="s">
        <v>714</v>
      </c>
      <c r="C15" s="1357">
        <v>12517284</v>
      </c>
      <c r="D15" s="1357">
        <v>12517284</v>
      </c>
      <c r="E15" s="1355"/>
      <c r="F15" s="1356">
        <f t="shared" si="0"/>
        <v>0</v>
      </c>
    </row>
    <row r="16" spans="2:7" x14ac:dyDescent="0.2">
      <c r="B16" s="872" t="s">
        <v>715</v>
      </c>
      <c r="C16" s="1357">
        <v>13256000</v>
      </c>
      <c r="D16" s="1357">
        <v>13256000</v>
      </c>
      <c r="E16" s="1355"/>
      <c r="F16" s="1356">
        <f t="shared" si="0"/>
        <v>0</v>
      </c>
    </row>
    <row r="17" spans="2:7" ht="14.25" customHeight="1" x14ac:dyDescent="0.2">
      <c r="B17" s="938" t="s">
        <v>717</v>
      </c>
      <c r="C17" s="1354">
        <v>14999999</v>
      </c>
      <c r="D17" s="1354">
        <v>14832677</v>
      </c>
      <c r="E17" s="1355"/>
      <c r="F17" s="1356">
        <f t="shared" si="0"/>
        <v>167322</v>
      </c>
    </row>
    <row r="18" spans="2:7" ht="28.5" customHeight="1" x14ac:dyDescent="0.2">
      <c r="B18" s="938" t="s">
        <v>701</v>
      </c>
      <c r="C18" s="1354">
        <v>2000000</v>
      </c>
      <c r="D18" s="1357"/>
      <c r="E18" s="1355">
        <v>2000000</v>
      </c>
      <c r="F18" s="1356">
        <f t="shared" si="0"/>
        <v>0</v>
      </c>
    </row>
    <row r="19" spans="2:7" ht="28.5" customHeight="1" x14ac:dyDescent="0.2">
      <c r="B19" s="1358" t="s">
        <v>702</v>
      </c>
      <c r="C19" s="1359">
        <f>SUM(C17:C18)</f>
        <v>16999999</v>
      </c>
      <c r="D19" s="1359">
        <f t="shared" ref="D19:E19" si="1">SUM(D17:D18)</f>
        <v>14832677</v>
      </c>
      <c r="E19" s="1359">
        <f t="shared" si="1"/>
        <v>2000000</v>
      </c>
      <c r="F19" s="1391">
        <f t="shared" si="0"/>
        <v>167322</v>
      </c>
    </row>
    <row r="20" spans="2:7" ht="39" customHeight="1" x14ac:dyDescent="0.2">
      <c r="B20" s="938" t="s">
        <v>718</v>
      </c>
      <c r="C20" s="1354">
        <v>1150000</v>
      </c>
      <c r="D20" s="1357">
        <v>1150000</v>
      </c>
      <c r="E20" s="1355">
        <v>0</v>
      </c>
      <c r="F20" s="1356"/>
    </row>
    <row r="21" spans="2:7" ht="14.25" customHeight="1" thickBot="1" x14ac:dyDescent="0.25">
      <c r="B21" s="1360" t="s">
        <v>719</v>
      </c>
      <c r="C21" s="1361">
        <v>3349000</v>
      </c>
      <c r="D21" s="1361">
        <v>3349000</v>
      </c>
      <c r="E21" s="1362"/>
      <c r="F21" s="1363">
        <f t="shared" ref="F21" si="2">C21-D21-E21</f>
        <v>0</v>
      </c>
    </row>
    <row r="22" spans="2:7" s="366" customFormat="1" ht="13.5" thickBot="1" x14ac:dyDescent="0.25">
      <c r="B22" s="939" t="s">
        <v>704</v>
      </c>
      <c r="C22" s="1365">
        <f>SUM(C9:C21)-C19</f>
        <v>113694183</v>
      </c>
      <c r="D22" s="1365">
        <f t="shared" ref="D22:F22" si="3">SUM(D9:D21)-D19</f>
        <v>111511573</v>
      </c>
      <c r="E22" s="1365">
        <f t="shared" si="3"/>
        <v>2000000</v>
      </c>
      <c r="F22" s="1365">
        <f t="shared" si="3"/>
        <v>182610</v>
      </c>
      <c r="G22" s="1366"/>
    </row>
    <row r="23" spans="2:7" ht="8.25" customHeight="1" x14ac:dyDescent="0.2"/>
    <row r="24" spans="2:7" ht="8.25" customHeight="1" x14ac:dyDescent="0.2"/>
    <row r="25" spans="2:7" ht="8.25" customHeight="1" x14ac:dyDescent="0.2"/>
    <row r="26" spans="2:7" ht="15" customHeight="1" x14ac:dyDescent="0.2">
      <c r="B26" s="1629" t="s">
        <v>720</v>
      </c>
      <c r="C26" s="1629"/>
      <c r="D26" s="1629"/>
      <c r="E26" s="1629"/>
    </row>
    <row r="27" spans="2:7" ht="15" customHeight="1" x14ac:dyDescent="0.2">
      <c r="B27" s="1630"/>
      <c r="C27" s="1630"/>
      <c r="D27" s="1630"/>
      <c r="E27" s="1630"/>
    </row>
    <row r="28" spans="2:7" ht="28.5" customHeight="1" thickBot="1" x14ac:dyDescent="0.25">
      <c r="E28" s="1344" t="s">
        <v>184</v>
      </c>
    </row>
    <row r="29" spans="2:7" ht="15" hidden="1" customHeight="1" thickBot="1" x14ac:dyDescent="0.25"/>
    <row r="30" spans="2:7" ht="93" customHeight="1" thickBot="1" x14ac:dyDescent="0.25">
      <c r="B30" s="871" t="s">
        <v>180</v>
      </c>
      <c r="C30" s="1367" t="s">
        <v>721</v>
      </c>
      <c r="D30" s="1367" t="s">
        <v>722</v>
      </c>
      <c r="E30" s="1367" t="s">
        <v>705</v>
      </c>
    </row>
    <row r="31" spans="2:7" ht="15" customHeight="1" thickBot="1" x14ac:dyDescent="0.25">
      <c r="B31" s="1350" t="s">
        <v>473</v>
      </c>
      <c r="C31" s="1351">
        <v>1800000</v>
      </c>
      <c r="D31" s="1351">
        <v>1800000</v>
      </c>
      <c r="E31" s="1352">
        <f>C31-D31</f>
        <v>0</v>
      </c>
    </row>
    <row r="32" spans="2:7" s="370" customFormat="1" ht="27.75" customHeight="1" thickBot="1" x14ac:dyDescent="0.25">
      <c r="B32" s="873" t="s">
        <v>703</v>
      </c>
      <c r="C32" s="1357">
        <v>4368000</v>
      </c>
      <c r="D32" s="1357">
        <v>4320000</v>
      </c>
      <c r="E32" s="1352">
        <f t="shared" ref="E32:E33" si="4">C32-D32</f>
        <v>48000</v>
      </c>
      <c r="F32" s="1340"/>
      <c r="G32" s="1340"/>
    </row>
    <row r="33" spans="1:8" ht="13.5" thickBot="1" x14ac:dyDescent="0.25">
      <c r="B33" s="939" t="s">
        <v>704</v>
      </c>
      <c r="C33" s="1364">
        <f>C32</f>
        <v>4368000</v>
      </c>
      <c r="D33" s="1364">
        <f t="shared" ref="D33" si="5">D32</f>
        <v>4320000</v>
      </c>
      <c r="E33" s="1392">
        <f t="shared" si="4"/>
        <v>48000</v>
      </c>
    </row>
    <row r="34" spans="1:8" x14ac:dyDescent="0.2">
      <c r="B34" s="1368"/>
      <c r="C34" s="1369"/>
      <c r="D34" s="1369"/>
      <c r="E34" s="1369"/>
    </row>
    <row r="35" spans="1:8" ht="38.25" customHeight="1" x14ac:dyDescent="0.25">
      <c r="B35" s="1631" t="s">
        <v>706</v>
      </c>
      <c r="C35" s="1631"/>
      <c r="D35" s="1631"/>
      <c r="E35" s="1631"/>
      <c r="F35" s="1631"/>
      <c r="G35" s="1631"/>
    </row>
    <row r="36" spans="1:8" ht="20.25" customHeight="1" x14ac:dyDescent="0.2">
      <c r="B36" s="1271"/>
      <c r="C36" s="1271"/>
      <c r="D36" s="1271"/>
      <c r="E36" s="1271"/>
      <c r="F36" s="1271"/>
      <c r="G36" s="1271"/>
    </row>
    <row r="37" spans="1:8" ht="13.5" thickBot="1" x14ac:dyDescent="0.25">
      <c r="F37" s="1370" t="s">
        <v>184</v>
      </c>
      <c r="G37" s="1371"/>
    </row>
    <row r="38" spans="1:8" ht="51.75" thickBot="1" x14ac:dyDescent="0.25">
      <c r="B38" s="1372" t="s">
        <v>180</v>
      </c>
      <c r="C38" s="1373" t="s">
        <v>185</v>
      </c>
      <c r="D38" s="1373" t="s">
        <v>707</v>
      </c>
      <c r="E38" s="1373" t="s">
        <v>708</v>
      </c>
      <c r="F38" s="1373" t="s">
        <v>709</v>
      </c>
      <c r="G38" s="1374" t="s">
        <v>710</v>
      </c>
      <c r="H38" s="870"/>
    </row>
    <row r="39" spans="1:8" x14ac:dyDescent="0.2">
      <c r="B39" s="1375" t="s">
        <v>493</v>
      </c>
      <c r="C39" s="1376">
        <v>174800664</v>
      </c>
      <c r="D39" s="1376">
        <v>0</v>
      </c>
      <c r="E39" s="1377">
        <f>C39+D39</f>
        <v>174800664</v>
      </c>
      <c r="F39" s="1378">
        <v>174800664</v>
      </c>
      <c r="G39" s="1378">
        <f>E39-F39</f>
        <v>0</v>
      </c>
      <c r="H39" s="870"/>
    </row>
    <row r="40" spans="1:8" x14ac:dyDescent="0.2">
      <c r="B40" s="1379" t="s">
        <v>711</v>
      </c>
      <c r="C40" s="1380">
        <v>50000</v>
      </c>
      <c r="D40" s="1380">
        <v>-10000</v>
      </c>
      <c r="E40" s="1381">
        <f t="shared" ref="E40:E41" si="6">C40+D40</f>
        <v>40000</v>
      </c>
      <c r="F40" s="1382">
        <v>32000</v>
      </c>
      <c r="G40" s="1382">
        <f t="shared" ref="G40:G42" si="7">F40-E40</f>
        <v>-8000</v>
      </c>
      <c r="H40" s="870"/>
    </row>
    <row r="41" spans="1:8" ht="26.25" thickBot="1" x14ac:dyDescent="0.25">
      <c r="B41" s="1379" t="s">
        <v>366</v>
      </c>
      <c r="C41" s="1380">
        <v>3100000</v>
      </c>
      <c r="D41" s="1383"/>
      <c r="E41" s="1381">
        <f t="shared" si="6"/>
        <v>3100000</v>
      </c>
      <c r="F41" s="1382">
        <v>3100000</v>
      </c>
      <c r="G41" s="1382">
        <f t="shared" si="7"/>
        <v>0</v>
      </c>
      <c r="H41" s="870"/>
    </row>
    <row r="42" spans="1:8" ht="13.5" thickBot="1" x14ac:dyDescent="0.25">
      <c r="B42" s="1384" t="s">
        <v>712</v>
      </c>
      <c r="C42" s="1383">
        <v>9690000</v>
      </c>
      <c r="D42" s="1385">
        <v>-949620</v>
      </c>
      <c r="E42" s="1386">
        <f>C42+D42</f>
        <v>8740380</v>
      </c>
      <c r="F42" s="1387">
        <v>8720430</v>
      </c>
      <c r="G42" s="1387">
        <f t="shared" si="7"/>
        <v>-19950</v>
      </c>
      <c r="H42" s="870"/>
    </row>
    <row r="43" spans="1:8" s="371" customFormat="1" ht="13.5" thickBot="1" x14ac:dyDescent="0.25">
      <c r="B43" s="874" t="s">
        <v>186</v>
      </c>
      <c r="C43" s="1388">
        <f>SUM(C39:C42)</f>
        <v>187640664</v>
      </c>
      <c r="D43" s="1388">
        <f t="shared" ref="D43:G43" si="8">SUM(D39:D42)</f>
        <v>-959620</v>
      </c>
      <c r="E43" s="1388">
        <f t="shared" si="8"/>
        <v>186681044</v>
      </c>
      <c r="F43" s="1388">
        <f t="shared" si="8"/>
        <v>186653094</v>
      </c>
      <c r="G43" s="1388">
        <f t="shared" si="8"/>
        <v>-27950</v>
      </c>
    </row>
    <row r="44" spans="1:8" ht="11.25" customHeight="1" x14ac:dyDescent="0.2">
      <c r="B44" s="370"/>
    </row>
    <row r="45" spans="1:8" x14ac:dyDescent="0.2">
      <c r="B45" s="875"/>
      <c r="C45" s="1389"/>
      <c r="D45" s="1389"/>
      <c r="E45" s="1389"/>
      <c r="F45" s="1389"/>
      <c r="G45" s="1389"/>
    </row>
    <row r="46" spans="1:8" x14ac:dyDescent="0.2">
      <c r="B46" s="876"/>
      <c r="C46" s="1390"/>
      <c r="D46" s="1390"/>
      <c r="E46" s="1390"/>
      <c r="F46" s="1390"/>
      <c r="G46" s="1389"/>
    </row>
    <row r="47" spans="1:8" s="1340" customFormat="1" x14ac:dyDescent="0.2">
      <c r="A47" s="350"/>
      <c r="B47" s="1624"/>
      <c r="C47" s="1624"/>
      <c r="D47" s="1624"/>
      <c r="E47" s="1624"/>
      <c r="F47" s="1624"/>
      <c r="H47" s="350"/>
    </row>
    <row r="49" spans="1:8" s="1340" customFormat="1" x14ac:dyDescent="0.2">
      <c r="A49" s="350"/>
      <c r="B49" s="877"/>
      <c r="H49" s="350"/>
    </row>
  </sheetData>
  <mergeCells count="7">
    <mergeCell ref="B47:F47"/>
    <mergeCell ref="B1:E1"/>
    <mergeCell ref="B2:F2"/>
    <mergeCell ref="B3:F3"/>
    <mergeCell ref="B5:F5"/>
    <mergeCell ref="B26:E27"/>
    <mergeCell ref="B35:G35"/>
  </mergeCells>
  <pageMargins left="0.75" right="0.75" top="1" bottom="1" header="0.5" footer="0.5"/>
  <pageSetup paperSize="9" scale="51" orientation="portrait" r:id="rId1"/>
  <headerFooter alignWithMargins="0">
    <oddHeader>&amp;R8.sz. melléklet
......./2020.(VI.25.) Egyek Önk.r.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48" zoomScale="130" zoomScaleNormal="130" zoomScaleSheetLayoutView="120" workbookViewId="0">
      <selection activeCell="N55" sqref="N55"/>
    </sheetView>
  </sheetViews>
  <sheetFormatPr defaultRowHeight="12.75" x14ac:dyDescent="0.2"/>
  <cols>
    <col min="2" max="2" width="20.42578125" bestFit="1" customWidth="1"/>
    <col min="3" max="3" width="8.7109375" bestFit="1" customWidth="1"/>
    <col min="4" max="4" width="18.28515625" bestFit="1" customWidth="1"/>
    <col min="5" max="5" width="18.28515625" customWidth="1"/>
    <col min="6" max="6" width="14.85546875" customWidth="1"/>
    <col min="7" max="7" width="12.28515625" customWidth="1"/>
    <col min="8" max="8" width="12" customWidth="1"/>
    <col min="9" max="9" width="15" customWidth="1"/>
  </cols>
  <sheetData>
    <row r="1" spans="1:9" s="1215" customFormat="1" ht="69" customHeight="1" x14ac:dyDescent="0.25">
      <c r="A1" s="1635" t="s">
        <v>187</v>
      </c>
      <c r="B1" s="1635"/>
      <c r="C1" s="1635"/>
      <c r="D1" s="1635"/>
      <c r="E1" s="1635"/>
      <c r="F1" s="1635"/>
      <c r="G1" s="1635"/>
      <c r="H1" s="1635"/>
      <c r="I1" s="1635"/>
    </row>
    <row r="2" spans="1:9" s="1215" customFormat="1" ht="69" customHeight="1" thickBot="1" x14ac:dyDescent="0.25">
      <c r="A2" s="1216"/>
      <c r="B2" s="1217"/>
      <c r="C2" s="1218"/>
      <c r="D2" s="1218"/>
      <c r="E2" s="1218"/>
      <c r="F2" s="1218"/>
      <c r="G2" s="1218"/>
      <c r="H2" s="1218"/>
      <c r="I2" s="1219" t="s">
        <v>585</v>
      </c>
    </row>
    <row r="3" spans="1:9" s="1220" customFormat="1" ht="69" customHeight="1" thickBot="1" x14ac:dyDescent="0.25">
      <c r="A3" s="1636" t="s">
        <v>21</v>
      </c>
      <c r="B3" s="1638" t="s">
        <v>188</v>
      </c>
      <c r="C3" s="1633" t="s">
        <v>189</v>
      </c>
      <c r="D3" s="1633" t="s">
        <v>753</v>
      </c>
      <c r="E3" s="1633" t="s">
        <v>775</v>
      </c>
      <c r="F3" s="1640" t="s">
        <v>190</v>
      </c>
      <c r="G3" s="1640"/>
      <c r="H3" s="1640"/>
      <c r="I3" s="1641" t="s">
        <v>14</v>
      </c>
    </row>
    <row r="4" spans="1:9" s="1220" customFormat="1" ht="24.75" customHeight="1" thickBot="1" x14ac:dyDescent="0.25">
      <c r="A4" s="1637"/>
      <c r="B4" s="1639"/>
      <c r="C4" s="1639"/>
      <c r="D4" s="1634"/>
      <c r="E4" s="1634"/>
      <c r="F4" s="1422" t="s">
        <v>545</v>
      </c>
      <c r="G4" s="1422" t="s">
        <v>601</v>
      </c>
      <c r="H4" s="1422" t="s">
        <v>754</v>
      </c>
      <c r="I4" s="1642"/>
    </row>
    <row r="5" spans="1:9" s="1221" customFormat="1" ht="34.5" thickBot="1" x14ac:dyDescent="0.25">
      <c r="A5" s="1423" t="s">
        <v>0</v>
      </c>
      <c r="B5" s="1424" t="s">
        <v>191</v>
      </c>
      <c r="C5" s="1425" t="s">
        <v>194</v>
      </c>
      <c r="D5" s="1426" t="s">
        <v>194</v>
      </c>
      <c r="E5" s="1426" t="s">
        <v>194</v>
      </c>
      <c r="F5" s="1425" t="s">
        <v>194</v>
      </c>
      <c r="G5" s="1425" t="s">
        <v>194</v>
      </c>
      <c r="H5" s="1425" t="s">
        <v>194</v>
      </c>
      <c r="I5" s="1427" t="s">
        <v>194</v>
      </c>
    </row>
    <row r="6" spans="1:9" s="1221" customFormat="1" ht="37.5" customHeight="1" thickBot="1" x14ac:dyDescent="0.25">
      <c r="A6" s="1428" t="s">
        <v>192</v>
      </c>
      <c r="B6" s="1429" t="s">
        <v>586</v>
      </c>
      <c r="C6" s="1430" t="s">
        <v>194</v>
      </c>
      <c r="D6" s="1431" t="s">
        <v>194</v>
      </c>
      <c r="E6" s="1431" t="s">
        <v>194</v>
      </c>
      <c r="F6" s="1432" t="s">
        <v>194</v>
      </c>
      <c r="G6" s="1432" t="s">
        <v>194</v>
      </c>
      <c r="H6" s="1432" t="s">
        <v>194</v>
      </c>
      <c r="I6" s="1433" t="s">
        <v>194</v>
      </c>
    </row>
    <row r="7" spans="1:9" s="1221" customFormat="1" ht="43.5" customHeight="1" thickBot="1" x14ac:dyDescent="0.25">
      <c r="A7" s="1423" t="s">
        <v>4</v>
      </c>
      <c r="B7" s="1434" t="s">
        <v>195</v>
      </c>
      <c r="C7" s="1425"/>
      <c r="D7" s="1425">
        <f t="shared" ref="D7:I7" si="0">SUM(D8:D18)</f>
        <v>36782453</v>
      </c>
      <c r="E7" s="1425">
        <f t="shared" si="0"/>
        <v>10449365</v>
      </c>
      <c r="F7" s="1425">
        <f t="shared" si="0"/>
        <v>12379365</v>
      </c>
      <c r="G7" s="1425">
        <f t="shared" si="0"/>
        <v>14309365</v>
      </c>
      <c r="H7" s="1425">
        <f t="shared" si="0"/>
        <v>14309365</v>
      </c>
      <c r="I7" s="1425">
        <f t="shared" si="0"/>
        <v>88229913</v>
      </c>
    </row>
    <row r="8" spans="1:9" s="1440" customFormat="1" ht="75.75" customHeight="1" x14ac:dyDescent="0.2">
      <c r="A8" s="1435" t="s">
        <v>196</v>
      </c>
      <c r="B8" s="1436" t="s">
        <v>587</v>
      </c>
      <c r="C8" s="1437" t="s">
        <v>291</v>
      </c>
      <c r="D8" s="1438">
        <f>8457956+2457068</f>
        <v>10915024</v>
      </c>
      <c r="E8" s="1438">
        <v>1984630</v>
      </c>
      <c r="F8" s="1438">
        <v>1984630</v>
      </c>
      <c r="G8" s="1438">
        <v>1984630</v>
      </c>
      <c r="H8" s="1438">
        <v>1984630</v>
      </c>
      <c r="I8" s="1439">
        <f t="shared" ref="I8:I18" si="1">SUM(D8:H8)</f>
        <v>18853544</v>
      </c>
    </row>
    <row r="9" spans="1:9" s="1440" customFormat="1" ht="40.5" customHeight="1" x14ac:dyDescent="0.2">
      <c r="A9" s="1441" t="s">
        <v>197</v>
      </c>
      <c r="B9" s="1442" t="s">
        <v>546</v>
      </c>
      <c r="C9" s="1443" t="s">
        <v>522</v>
      </c>
      <c r="D9" s="1444">
        <f>1607060+1315461</f>
        <v>2922521</v>
      </c>
      <c r="E9" s="1444">
        <v>980000</v>
      </c>
      <c r="F9" s="1444">
        <v>980000</v>
      </c>
      <c r="G9" s="1444">
        <v>980000</v>
      </c>
      <c r="H9" s="1444">
        <v>980000</v>
      </c>
      <c r="I9" s="1439">
        <f t="shared" si="1"/>
        <v>6842521</v>
      </c>
    </row>
    <row r="10" spans="1:9" s="1440" customFormat="1" ht="52.5" customHeight="1" x14ac:dyDescent="0.2">
      <c r="A10" s="1441" t="s">
        <v>198</v>
      </c>
      <c r="B10" s="1442" t="s">
        <v>518</v>
      </c>
      <c r="C10" s="1443" t="s">
        <v>291</v>
      </c>
      <c r="D10" s="1444">
        <f>4205165+1230529</f>
        <v>5435694</v>
      </c>
      <c r="E10" s="1444">
        <v>980000</v>
      </c>
      <c r="F10" s="1444">
        <v>980000</v>
      </c>
      <c r="G10" s="1444">
        <v>980000</v>
      </c>
      <c r="H10" s="1444">
        <v>980000</v>
      </c>
      <c r="I10" s="1439">
        <f t="shared" si="1"/>
        <v>9355694</v>
      </c>
    </row>
    <row r="11" spans="1:9" s="1440" customFormat="1" ht="56.25" x14ac:dyDescent="0.2">
      <c r="A11" s="1441" t="s">
        <v>588</v>
      </c>
      <c r="B11" s="1442" t="s">
        <v>589</v>
      </c>
      <c r="C11" s="1443" t="s">
        <v>291</v>
      </c>
      <c r="D11" s="1444">
        <f>152846+38903</f>
        <v>191749</v>
      </c>
      <c r="E11" s="1444">
        <v>30480</v>
      </c>
      <c r="F11" s="1444">
        <v>30480</v>
      </c>
      <c r="G11" s="1444">
        <v>30480</v>
      </c>
      <c r="H11" s="1444">
        <v>30480</v>
      </c>
      <c r="I11" s="1439">
        <f t="shared" si="1"/>
        <v>313669</v>
      </c>
    </row>
    <row r="12" spans="1:9" s="1440" customFormat="1" ht="135" x14ac:dyDescent="0.2">
      <c r="A12" s="1441" t="s">
        <v>199</v>
      </c>
      <c r="B12" s="1442" t="s">
        <v>517</v>
      </c>
      <c r="C12" s="1443" t="s">
        <v>291</v>
      </c>
      <c r="D12" s="1444">
        <f>680190+172677</f>
        <v>852867</v>
      </c>
      <c r="E12" s="1444">
        <v>135255</v>
      </c>
      <c r="F12" s="1444">
        <v>135255</v>
      </c>
      <c r="G12" s="1444">
        <v>135255</v>
      </c>
      <c r="H12" s="1444">
        <v>135255</v>
      </c>
      <c r="I12" s="1439">
        <f t="shared" si="1"/>
        <v>1393887</v>
      </c>
    </row>
    <row r="13" spans="1:9" s="1440" customFormat="1" ht="22.5" x14ac:dyDescent="0.2">
      <c r="A13" s="1441" t="s">
        <v>200</v>
      </c>
      <c r="B13" s="1442" t="s">
        <v>516</v>
      </c>
      <c r="C13" s="1443" t="s">
        <v>291</v>
      </c>
      <c r="D13" s="1444">
        <f>4767104+1212586</f>
        <v>5979690</v>
      </c>
      <c r="E13" s="1444">
        <v>950000</v>
      </c>
      <c r="F13" s="1444">
        <v>950000</v>
      </c>
      <c r="G13" s="1444">
        <v>950000</v>
      </c>
      <c r="H13" s="1444">
        <v>950000</v>
      </c>
      <c r="I13" s="1439">
        <f t="shared" si="1"/>
        <v>9779690</v>
      </c>
    </row>
    <row r="14" spans="1:9" s="1440" customFormat="1" ht="45" x14ac:dyDescent="0.2">
      <c r="A14" s="1441" t="s">
        <v>590</v>
      </c>
      <c r="B14" s="1442" t="s">
        <v>515</v>
      </c>
      <c r="C14" s="1443" t="s">
        <v>494</v>
      </c>
      <c r="D14" s="1444">
        <f>2332480+1024087</f>
        <v>3356567</v>
      </c>
      <c r="E14" s="1444">
        <v>796000</v>
      </c>
      <c r="F14" s="1445">
        <v>796000</v>
      </c>
      <c r="G14" s="1445">
        <v>796000</v>
      </c>
      <c r="H14" s="1445">
        <v>796000</v>
      </c>
      <c r="I14" s="1439">
        <f t="shared" si="1"/>
        <v>6540567</v>
      </c>
    </row>
    <row r="15" spans="1:9" s="1440" customFormat="1" ht="69" customHeight="1" x14ac:dyDescent="0.2">
      <c r="A15" s="1441" t="s">
        <v>591</v>
      </c>
      <c r="B15" s="1442" t="s">
        <v>592</v>
      </c>
      <c r="C15" s="1443" t="s">
        <v>494</v>
      </c>
      <c r="D15" s="1444">
        <f>4041649+1866809</f>
        <v>5908458</v>
      </c>
      <c r="E15" s="1444">
        <v>1436000</v>
      </c>
      <c r="F15" s="1445">
        <v>1436000</v>
      </c>
      <c r="G15" s="1445">
        <v>1436000</v>
      </c>
      <c r="H15" s="1445">
        <v>1436000</v>
      </c>
      <c r="I15" s="1439">
        <f t="shared" si="1"/>
        <v>11652458</v>
      </c>
    </row>
    <row r="16" spans="1:9" s="1440" customFormat="1" ht="69" customHeight="1" x14ac:dyDescent="0.2">
      <c r="A16" s="1446" t="s">
        <v>593</v>
      </c>
      <c r="B16" s="1447" t="s">
        <v>755</v>
      </c>
      <c r="C16" s="1448" t="s">
        <v>520</v>
      </c>
      <c r="D16" s="1449">
        <v>179000</v>
      </c>
      <c r="E16" s="1449">
        <v>2895000</v>
      </c>
      <c r="F16" s="1450">
        <v>2895000</v>
      </c>
      <c r="G16" s="1450">
        <v>2895000</v>
      </c>
      <c r="H16" s="1450">
        <v>2895000</v>
      </c>
      <c r="I16" s="1439">
        <f t="shared" si="1"/>
        <v>11759000</v>
      </c>
    </row>
    <row r="17" spans="1:9" s="1440" customFormat="1" ht="69" customHeight="1" x14ac:dyDescent="0.2">
      <c r="A17" s="1446" t="s">
        <v>756</v>
      </c>
      <c r="B17" s="1447" t="s">
        <v>777</v>
      </c>
      <c r="C17" s="1448" t="s">
        <v>519</v>
      </c>
      <c r="D17" s="1449">
        <v>0</v>
      </c>
      <c r="E17" s="1449">
        <v>0</v>
      </c>
      <c r="F17" s="1450">
        <v>1930000</v>
      </c>
      <c r="G17" s="1450">
        <v>3860000</v>
      </c>
      <c r="H17" s="1450">
        <v>3860000</v>
      </c>
      <c r="I17" s="1439">
        <f t="shared" si="1"/>
        <v>9650000</v>
      </c>
    </row>
    <row r="18" spans="1:9" s="1440" customFormat="1" ht="60" customHeight="1" thickBot="1" x14ac:dyDescent="0.25">
      <c r="A18" s="1446" t="s">
        <v>776</v>
      </c>
      <c r="B18" s="1447" t="s">
        <v>594</v>
      </c>
      <c r="C18" s="1448" t="s">
        <v>494</v>
      </c>
      <c r="D18" s="1449">
        <f>703411+337472</f>
        <v>1040883</v>
      </c>
      <c r="E18" s="1449">
        <v>262000</v>
      </c>
      <c r="F18" s="1450">
        <v>262000</v>
      </c>
      <c r="G18" s="1450">
        <v>262000</v>
      </c>
      <c r="H18" s="1450">
        <v>262000</v>
      </c>
      <c r="I18" s="1439">
        <f t="shared" si="1"/>
        <v>2088883</v>
      </c>
    </row>
    <row r="19" spans="1:9" s="1440" customFormat="1" ht="23.25" thickBot="1" x14ac:dyDescent="0.25">
      <c r="A19" s="1451" t="s">
        <v>8</v>
      </c>
      <c r="B19" s="1452" t="s">
        <v>202</v>
      </c>
      <c r="C19" s="1453" t="s">
        <v>194</v>
      </c>
      <c r="D19" s="1453">
        <f t="shared" ref="D19:I19" si="2">SUM(D20:D30)</f>
        <v>375000</v>
      </c>
      <c r="E19" s="1453">
        <f t="shared" ref="E19" si="3">SUM(E20:E30)</f>
        <v>191722896</v>
      </c>
      <c r="F19" s="1453">
        <f t="shared" si="2"/>
        <v>1727952165</v>
      </c>
      <c r="G19" s="1453">
        <f t="shared" si="2"/>
        <v>0</v>
      </c>
      <c r="H19" s="1453">
        <f t="shared" si="2"/>
        <v>0</v>
      </c>
      <c r="I19" s="1453">
        <f t="shared" si="2"/>
        <v>1920050061</v>
      </c>
    </row>
    <row r="20" spans="1:9" s="1440" customFormat="1" ht="60.75" customHeight="1" thickBot="1" x14ac:dyDescent="0.25">
      <c r="A20" s="1451" t="s">
        <v>203</v>
      </c>
      <c r="B20" s="1454" t="s">
        <v>757</v>
      </c>
      <c r="C20" s="1455" t="s">
        <v>520</v>
      </c>
      <c r="D20" s="1455"/>
      <c r="E20" s="1455">
        <v>101026284</v>
      </c>
      <c r="F20" s="1455">
        <v>33675426</v>
      </c>
      <c r="G20" s="1455"/>
      <c r="H20" s="1455"/>
      <c r="I20" s="1456">
        <f t="shared" ref="I20:I30" si="4">SUM(D20:H20)</f>
        <v>134701710</v>
      </c>
    </row>
    <row r="21" spans="1:9" s="1440" customFormat="1" ht="34.5" thickBot="1" x14ac:dyDescent="0.25">
      <c r="A21" s="1451" t="s">
        <v>204</v>
      </c>
      <c r="B21" s="1454" t="s">
        <v>758</v>
      </c>
      <c r="C21" s="1455" t="s">
        <v>520</v>
      </c>
      <c r="D21" s="1455"/>
      <c r="E21" s="1455">
        <v>70011512</v>
      </c>
      <c r="F21" s="1455">
        <v>1673991154</v>
      </c>
      <c r="G21" s="1455"/>
      <c r="H21" s="1455"/>
      <c r="I21" s="1456">
        <f t="shared" si="4"/>
        <v>1744002666</v>
      </c>
    </row>
    <row r="22" spans="1:9" s="1440" customFormat="1" ht="57" thickBot="1" x14ac:dyDescent="0.25">
      <c r="A22" s="1451" t="s">
        <v>205</v>
      </c>
      <c r="B22" s="1454" t="s">
        <v>759</v>
      </c>
      <c r="C22" s="1455" t="s">
        <v>520</v>
      </c>
      <c r="D22" s="1455"/>
      <c r="E22" s="1455"/>
      <c r="F22" s="1455">
        <v>2286635</v>
      </c>
      <c r="G22" s="1455"/>
      <c r="H22" s="1455"/>
      <c r="I22" s="1456">
        <f t="shared" si="4"/>
        <v>2286635</v>
      </c>
    </row>
    <row r="23" spans="1:9" s="1440" customFormat="1" ht="79.5" thickBot="1" x14ac:dyDescent="0.25">
      <c r="A23" s="1451" t="s">
        <v>206</v>
      </c>
      <c r="B23" s="1454" t="s">
        <v>760</v>
      </c>
      <c r="C23" s="1455" t="s">
        <v>520</v>
      </c>
      <c r="D23" s="1455"/>
      <c r="E23" s="1455"/>
      <c r="F23" s="1455">
        <v>170000</v>
      </c>
      <c r="G23" s="1455"/>
      <c r="H23" s="1455"/>
      <c r="I23" s="1456">
        <f t="shared" si="4"/>
        <v>170000</v>
      </c>
    </row>
    <row r="24" spans="1:9" s="1440" customFormat="1" ht="90.75" thickBot="1" x14ac:dyDescent="0.25">
      <c r="A24" s="1451" t="s">
        <v>207</v>
      </c>
      <c r="B24" s="1454" t="s">
        <v>761</v>
      </c>
      <c r="C24" s="1455" t="s">
        <v>521</v>
      </c>
      <c r="D24" s="1455"/>
      <c r="E24" s="1455">
        <v>800100</v>
      </c>
      <c r="F24" s="1455"/>
      <c r="G24" s="1455"/>
      <c r="H24" s="1455"/>
      <c r="I24" s="1456">
        <f t="shared" si="4"/>
        <v>800100</v>
      </c>
    </row>
    <row r="25" spans="1:9" s="1440" customFormat="1" ht="45.75" thickBot="1" x14ac:dyDescent="0.25">
      <c r="A25" s="1451" t="s">
        <v>514</v>
      </c>
      <c r="B25" s="1454" t="s">
        <v>762</v>
      </c>
      <c r="C25" s="1455" t="s">
        <v>521</v>
      </c>
      <c r="D25" s="1455"/>
      <c r="E25" s="1455">
        <v>16510000</v>
      </c>
      <c r="F25" s="1455">
        <v>5490000</v>
      </c>
      <c r="G25" s="1455"/>
      <c r="H25" s="1455"/>
      <c r="I25" s="1456">
        <f t="shared" si="4"/>
        <v>22000000</v>
      </c>
    </row>
    <row r="26" spans="1:9" s="1440" customFormat="1" ht="57" thickBot="1" x14ac:dyDescent="0.25">
      <c r="A26" s="1451" t="s">
        <v>763</v>
      </c>
      <c r="B26" s="1454" t="s">
        <v>764</v>
      </c>
      <c r="C26" s="1455" t="s">
        <v>521</v>
      </c>
      <c r="D26" s="1455"/>
      <c r="E26" s="1455"/>
      <c r="F26" s="1455">
        <v>1403350</v>
      </c>
      <c r="G26" s="1455"/>
      <c r="H26" s="1455"/>
      <c r="I26" s="1456">
        <f t="shared" si="4"/>
        <v>1403350</v>
      </c>
    </row>
    <row r="27" spans="1:9" s="1440" customFormat="1" ht="57" thickBot="1" x14ac:dyDescent="0.25">
      <c r="A27" s="1451" t="s">
        <v>765</v>
      </c>
      <c r="B27" s="1454" t="s">
        <v>766</v>
      </c>
      <c r="C27" s="1455" t="s">
        <v>521</v>
      </c>
      <c r="D27" s="1455"/>
      <c r="E27" s="1455"/>
      <c r="F27" s="1455">
        <v>5500000</v>
      </c>
      <c r="G27" s="1455"/>
      <c r="H27" s="1455"/>
      <c r="I27" s="1456">
        <f t="shared" si="4"/>
        <v>5500000</v>
      </c>
    </row>
    <row r="28" spans="1:9" s="1440" customFormat="1" ht="79.5" thickBot="1" x14ac:dyDescent="0.25">
      <c r="A28" s="1451" t="s">
        <v>767</v>
      </c>
      <c r="B28" s="1454" t="s">
        <v>768</v>
      </c>
      <c r="C28" s="1455" t="s">
        <v>521</v>
      </c>
      <c r="D28" s="1455"/>
      <c r="E28" s="1455"/>
      <c r="F28" s="1455">
        <v>4445000</v>
      </c>
      <c r="G28" s="1455"/>
      <c r="H28" s="1455"/>
      <c r="I28" s="1456">
        <f t="shared" si="4"/>
        <v>4445000</v>
      </c>
    </row>
    <row r="29" spans="1:9" s="1440" customFormat="1" ht="79.5" thickBot="1" x14ac:dyDescent="0.25">
      <c r="A29" s="1451" t="s">
        <v>769</v>
      </c>
      <c r="B29" s="1454" t="s">
        <v>770</v>
      </c>
      <c r="C29" s="1455" t="s">
        <v>521</v>
      </c>
      <c r="D29" s="1455"/>
      <c r="E29" s="1455"/>
      <c r="F29" s="1455">
        <v>990600</v>
      </c>
      <c r="G29" s="1455"/>
      <c r="H29" s="1455"/>
      <c r="I29" s="1456">
        <f t="shared" si="4"/>
        <v>990600</v>
      </c>
    </row>
    <row r="30" spans="1:9" s="1440" customFormat="1" ht="79.5" thickBot="1" x14ac:dyDescent="0.25">
      <c r="A30" s="1451" t="s">
        <v>771</v>
      </c>
      <c r="B30" s="1454" t="s">
        <v>772</v>
      </c>
      <c r="C30" s="1455" t="s">
        <v>521</v>
      </c>
      <c r="D30" s="1455">
        <v>375000</v>
      </c>
      <c r="E30" s="1455">
        <v>3375000</v>
      </c>
      <c r="F30" s="1455">
        <v>0</v>
      </c>
      <c r="G30" s="1455"/>
      <c r="H30" s="1455"/>
      <c r="I30" s="1456">
        <f t="shared" si="4"/>
        <v>3750000</v>
      </c>
    </row>
    <row r="31" spans="1:9" s="1440" customFormat="1" ht="69" customHeight="1" thickBot="1" x14ac:dyDescent="0.25">
      <c r="A31" s="1457" t="s">
        <v>2</v>
      </c>
      <c r="B31" s="1222" t="s">
        <v>208</v>
      </c>
      <c r="C31" s="1222"/>
      <c r="D31" s="1222">
        <f t="shared" ref="D31:I31" si="5">SUM(D32:D51)</f>
        <v>80157290</v>
      </c>
      <c r="E31" s="1222">
        <f t="shared" ref="E31" si="6">SUM(E32:E51)</f>
        <v>12048486</v>
      </c>
      <c r="F31" s="1222">
        <f t="shared" si="5"/>
        <v>12585295</v>
      </c>
      <c r="G31" s="1222">
        <f t="shared" si="5"/>
        <v>12286099</v>
      </c>
      <c r="H31" s="1222">
        <f t="shared" si="5"/>
        <v>12286099</v>
      </c>
      <c r="I31" s="1223">
        <f t="shared" si="5"/>
        <v>117314783</v>
      </c>
    </row>
    <row r="32" spans="1:9" s="1463" customFormat="1" ht="45.75" thickBot="1" x14ac:dyDescent="0.25">
      <c r="A32" s="1458" t="s">
        <v>209</v>
      </c>
      <c r="B32" s="1459" t="s">
        <v>773</v>
      </c>
      <c r="C32" s="1460" t="s">
        <v>522</v>
      </c>
      <c r="D32" s="1460">
        <v>1000000</v>
      </c>
      <c r="E32" s="1460"/>
      <c r="F32" s="1460"/>
      <c r="G32" s="1461"/>
      <c r="H32" s="1461"/>
      <c r="I32" s="1462">
        <f>D32+F32+G32+H32</f>
        <v>1000000</v>
      </c>
    </row>
    <row r="33" spans="1:9" s="1463" customFormat="1" ht="12" thickBot="1" x14ac:dyDescent="0.25">
      <c r="A33" s="1441" t="s">
        <v>210</v>
      </c>
      <c r="B33" s="1464" t="s">
        <v>547</v>
      </c>
      <c r="C33" s="1443" t="s">
        <v>548</v>
      </c>
      <c r="D33" s="1444">
        <v>5064360</v>
      </c>
      <c r="E33" s="1444">
        <v>796290</v>
      </c>
      <c r="F33" s="1444">
        <v>868680</v>
      </c>
      <c r="G33" s="1444">
        <v>868680</v>
      </c>
      <c r="H33" s="1444">
        <v>868680</v>
      </c>
      <c r="I33" s="1462">
        <f t="shared" ref="I33:I51" si="7">D33+F33+G33+H33</f>
        <v>7670400</v>
      </c>
    </row>
    <row r="34" spans="1:9" s="1463" customFormat="1" ht="23.25" thickBot="1" x14ac:dyDescent="0.25">
      <c r="A34" s="1441" t="s">
        <v>211</v>
      </c>
      <c r="B34" s="1464" t="s">
        <v>213</v>
      </c>
      <c r="C34" s="1443" t="s">
        <v>193</v>
      </c>
      <c r="D34" s="1444">
        <v>5840000</v>
      </c>
      <c r="E34" s="1444">
        <v>1200000</v>
      </c>
      <c r="F34" s="1444">
        <v>1200000</v>
      </c>
      <c r="G34" s="1444">
        <v>1200000</v>
      </c>
      <c r="H34" s="1444">
        <v>1200000</v>
      </c>
      <c r="I34" s="1462">
        <f t="shared" si="7"/>
        <v>9440000</v>
      </c>
    </row>
    <row r="35" spans="1:9" s="1463" customFormat="1" ht="34.5" thickBot="1" x14ac:dyDescent="0.25">
      <c r="A35" s="1441" t="s">
        <v>212</v>
      </c>
      <c r="B35" s="1464" t="s">
        <v>215</v>
      </c>
      <c r="C35" s="1443" t="s">
        <v>201</v>
      </c>
      <c r="D35" s="1444">
        <v>3960000</v>
      </c>
      <c r="E35" s="1444">
        <v>605000</v>
      </c>
      <c r="F35" s="1444">
        <v>660000</v>
      </c>
      <c r="G35" s="1444">
        <v>660000</v>
      </c>
      <c r="H35" s="1444">
        <v>660000</v>
      </c>
      <c r="I35" s="1462">
        <f t="shared" si="7"/>
        <v>5940000</v>
      </c>
    </row>
    <row r="36" spans="1:9" s="1463" customFormat="1" ht="12" thickBot="1" x14ac:dyDescent="0.25">
      <c r="A36" s="1441" t="s">
        <v>214</v>
      </c>
      <c r="B36" s="1464" t="s">
        <v>217</v>
      </c>
      <c r="C36" s="1443" t="s">
        <v>193</v>
      </c>
      <c r="D36" s="1444">
        <v>10035000</v>
      </c>
      <c r="E36" s="1444">
        <v>1597660</v>
      </c>
      <c r="F36" s="1444">
        <v>1905000</v>
      </c>
      <c r="G36" s="1444">
        <v>1500000</v>
      </c>
      <c r="H36" s="1444">
        <v>1500000</v>
      </c>
      <c r="I36" s="1462">
        <f t="shared" si="7"/>
        <v>14940000</v>
      </c>
    </row>
    <row r="37" spans="1:9" s="1463" customFormat="1" ht="23.25" thickBot="1" x14ac:dyDescent="0.25">
      <c r="A37" s="1446" t="s">
        <v>216</v>
      </c>
      <c r="B37" s="1465" t="s">
        <v>512</v>
      </c>
      <c r="C37" s="1448" t="s">
        <v>494</v>
      </c>
      <c r="D37" s="1449">
        <v>2350000</v>
      </c>
      <c r="E37" s="1449">
        <v>878967</v>
      </c>
      <c r="F37" s="1449">
        <v>762000</v>
      </c>
      <c r="G37" s="1449">
        <v>762000</v>
      </c>
      <c r="H37" s="1449">
        <v>762000</v>
      </c>
      <c r="I37" s="1462">
        <f t="shared" si="7"/>
        <v>4636000</v>
      </c>
    </row>
    <row r="38" spans="1:9" s="1463" customFormat="1" ht="12" thickBot="1" x14ac:dyDescent="0.25">
      <c r="A38" s="1441" t="s">
        <v>218</v>
      </c>
      <c r="B38" s="1464" t="s">
        <v>595</v>
      </c>
      <c r="C38" s="1443" t="s">
        <v>222</v>
      </c>
      <c r="D38" s="1444">
        <v>34414696</v>
      </c>
      <c r="E38" s="1444">
        <v>3549631</v>
      </c>
      <c r="F38" s="1444">
        <v>3767868</v>
      </c>
      <c r="G38" s="1444">
        <v>3873672</v>
      </c>
      <c r="H38" s="1444">
        <v>3873672</v>
      </c>
      <c r="I38" s="1462">
        <f t="shared" si="7"/>
        <v>45929908</v>
      </c>
    </row>
    <row r="39" spans="1:9" s="1463" customFormat="1" ht="23.25" thickBot="1" x14ac:dyDescent="0.25">
      <c r="A39" s="1441" t="s">
        <v>219</v>
      </c>
      <c r="B39" s="1464" t="s">
        <v>225</v>
      </c>
      <c r="C39" s="1443" t="s">
        <v>193</v>
      </c>
      <c r="D39" s="1444">
        <v>956000</v>
      </c>
      <c r="E39" s="1444">
        <v>161191</v>
      </c>
      <c r="F39" s="1444">
        <v>162000</v>
      </c>
      <c r="G39" s="1444">
        <v>162000</v>
      </c>
      <c r="H39" s="1444">
        <v>162000</v>
      </c>
      <c r="I39" s="1462">
        <f t="shared" si="7"/>
        <v>1442000</v>
      </c>
    </row>
    <row r="40" spans="1:9" s="1463" customFormat="1" ht="23.25" thickBot="1" x14ac:dyDescent="0.25">
      <c r="A40" s="1441" t="s">
        <v>220</v>
      </c>
      <c r="B40" s="1464" t="s">
        <v>227</v>
      </c>
      <c r="C40" s="1443" t="s">
        <v>201</v>
      </c>
      <c r="D40" s="1444">
        <v>1077500</v>
      </c>
      <c r="E40" s="1444">
        <v>101090</v>
      </c>
      <c r="F40" s="1444">
        <v>101090</v>
      </c>
      <c r="G40" s="1444">
        <v>101090</v>
      </c>
      <c r="H40" s="1444">
        <v>101090</v>
      </c>
      <c r="I40" s="1462">
        <f t="shared" si="7"/>
        <v>1380770</v>
      </c>
    </row>
    <row r="41" spans="1:9" s="1463" customFormat="1" ht="23.25" thickBot="1" x14ac:dyDescent="0.25">
      <c r="A41" s="1441" t="s">
        <v>513</v>
      </c>
      <c r="B41" s="1464" t="s">
        <v>774</v>
      </c>
      <c r="C41" s="1443" t="s">
        <v>201</v>
      </c>
      <c r="D41" s="1444">
        <v>2728680</v>
      </c>
      <c r="E41" s="1444">
        <v>488950</v>
      </c>
      <c r="F41" s="1444">
        <v>488950</v>
      </c>
      <c r="G41" s="1444">
        <v>488950</v>
      </c>
      <c r="H41" s="1444">
        <v>488950</v>
      </c>
      <c r="I41" s="1462">
        <f t="shared" si="7"/>
        <v>4195530</v>
      </c>
    </row>
    <row r="42" spans="1:9" s="1463" customFormat="1" ht="23.25" thickBot="1" x14ac:dyDescent="0.25">
      <c r="A42" s="1441" t="s">
        <v>221</v>
      </c>
      <c r="B42" s="1464" t="s">
        <v>230</v>
      </c>
      <c r="C42" s="1443" t="s">
        <v>193</v>
      </c>
      <c r="D42" s="1444">
        <v>296750</v>
      </c>
      <c r="E42" s="1444">
        <v>214121</v>
      </c>
      <c r="F42" s="1444">
        <v>214121</v>
      </c>
      <c r="G42" s="1444">
        <v>214121</v>
      </c>
      <c r="H42" s="1444">
        <v>214121</v>
      </c>
      <c r="I42" s="1462">
        <f t="shared" si="7"/>
        <v>939113</v>
      </c>
    </row>
    <row r="43" spans="1:9" s="1463" customFormat="1" ht="23.25" thickBot="1" x14ac:dyDescent="0.25">
      <c r="A43" s="1441" t="s">
        <v>223</v>
      </c>
      <c r="B43" s="1464" t="s">
        <v>231</v>
      </c>
      <c r="C43" s="1443" t="s">
        <v>201</v>
      </c>
      <c r="D43" s="1444">
        <v>1512000</v>
      </c>
      <c r="E43" s="1444">
        <v>220218</v>
      </c>
      <c r="F43" s="1444">
        <v>220218</v>
      </c>
      <c r="G43" s="1444">
        <v>220218</v>
      </c>
      <c r="H43" s="1444">
        <v>220218</v>
      </c>
      <c r="I43" s="1462">
        <f t="shared" si="7"/>
        <v>2172654</v>
      </c>
    </row>
    <row r="44" spans="1:9" s="1463" customFormat="1" ht="34.5" thickBot="1" x14ac:dyDescent="0.25">
      <c r="A44" s="1441" t="s">
        <v>224</v>
      </c>
      <c r="B44" s="1464" t="s">
        <v>233</v>
      </c>
      <c r="C44" s="1443" t="s">
        <v>201</v>
      </c>
      <c r="D44" s="1444">
        <v>221000</v>
      </c>
      <c r="E44" s="1444">
        <v>32000</v>
      </c>
      <c r="F44" s="1444">
        <v>32000</v>
      </c>
      <c r="G44" s="1444">
        <v>32000</v>
      </c>
      <c r="H44" s="1444">
        <v>32000</v>
      </c>
      <c r="I44" s="1462">
        <f t="shared" si="7"/>
        <v>317000</v>
      </c>
    </row>
    <row r="45" spans="1:9" s="1463" customFormat="1" ht="23.25" thickBot="1" x14ac:dyDescent="0.25">
      <c r="A45" s="1441" t="s">
        <v>226</v>
      </c>
      <c r="B45" s="1464" t="s">
        <v>235</v>
      </c>
      <c r="C45" s="1443" t="s">
        <v>201</v>
      </c>
      <c r="D45" s="1444">
        <v>252000</v>
      </c>
      <c r="E45" s="1444">
        <v>45720</v>
      </c>
      <c r="F45" s="1444">
        <v>45720</v>
      </c>
      <c r="G45" s="1444">
        <v>45720</v>
      </c>
      <c r="H45" s="1444">
        <v>45720</v>
      </c>
      <c r="I45" s="1462">
        <f t="shared" si="7"/>
        <v>389160</v>
      </c>
    </row>
    <row r="46" spans="1:9" s="1463" customFormat="1" ht="34.5" thickBot="1" x14ac:dyDescent="0.25">
      <c r="A46" s="1441" t="s">
        <v>228</v>
      </c>
      <c r="B46" s="1464" t="s">
        <v>782</v>
      </c>
      <c r="C46" s="1443" t="s">
        <v>201</v>
      </c>
      <c r="D46" s="1444">
        <v>529000</v>
      </c>
      <c r="E46" s="1444">
        <v>128270</v>
      </c>
      <c r="F46" s="1444">
        <v>128270</v>
      </c>
      <c r="G46" s="1444">
        <v>128270</v>
      </c>
      <c r="H46" s="1444">
        <v>128270</v>
      </c>
      <c r="I46" s="1462">
        <f t="shared" si="7"/>
        <v>913810</v>
      </c>
    </row>
    <row r="47" spans="1:9" s="1463" customFormat="1" ht="45.75" thickBot="1" x14ac:dyDescent="0.25">
      <c r="A47" s="1441" t="s">
        <v>229</v>
      </c>
      <c r="B47" s="1464" t="s">
        <v>596</v>
      </c>
      <c r="C47" s="1443" t="s">
        <v>201</v>
      </c>
      <c r="D47" s="1444">
        <v>3885304</v>
      </c>
      <c r="E47" s="1444">
        <v>1048602</v>
      </c>
      <c r="F47" s="1444">
        <v>1048602</v>
      </c>
      <c r="G47" s="1444">
        <v>1048602</v>
      </c>
      <c r="H47" s="1444">
        <v>1048602</v>
      </c>
      <c r="I47" s="1462">
        <f t="shared" si="7"/>
        <v>7031110</v>
      </c>
    </row>
    <row r="48" spans="1:9" s="1463" customFormat="1" ht="45.75" thickBot="1" x14ac:dyDescent="0.25">
      <c r="A48" s="1441" t="s">
        <v>232</v>
      </c>
      <c r="B48" s="1464" t="s">
        <v>597</v>
      </c>
      <c r="C48" s="1443" t="s">
        <v>291</v>
      </c>
      <c r="D48" s="1444">
        <v>4531000</v>
      </c>
      <c r="E48" s="1444">
        <v>827278</v>
      </c>
      <c r="F48" s="1444">
        <v>827278</v>
      </c>
      <c r="G48" s="1444">
        <v>827278</v>
      </c>
      <c r="H48" s="1444">
        <v>827278</v>
      </c>
      <c r="I48" s="1462">
        <f t="shared" si="7"/>
        <v>7012834</v>
      </c>
    </row>
    <row r="49" spans="1:9" s="1463" customFormat="1" ht="34.5" thickBot="1" x14ac:dyDescent="0.25">
      <c r="A49" s="1441" t="s">
        <v>234</v>
      </c>
      <c r="B49" s="1464" t="s">
        <v>598</v>
      </c>
      <c r="C49" s="1443" t="s">
        <v>201</v>
      </c>
      <c r="D49" s="1444">
        <v>912000</v>
      </c>
      <c r="E49" s="1444">
        <v>56978</v>
      </c>
      <c r="F49" s="1444">
        <v>56978</v>
      </c>
      <c r="G49" s="1444">
        <v>56978</v>
      </c>
      <c r="H49" s="1444">
        <v>56978</v>
      </c>
      <c r="I49" s="1462">
        <f t="shared" si="7"/>
        <v>1082934</v>
      </c>
    </row>
    <row r="50" spans="1:9" s="1463" customFormat="1" ht="23.25" thickBot="1" x14ac:dyDescent="0.25">
      <c r="A50" s="1441" t="s">
        <v>236</v>
      </c>
      <c r="B50" s="1464" t="s">
        <v>599</v>
      </c>
      <c r="C50" s="1443" t="s">
        <v>494</v>
      </c>
      <c r="D50" s="1444">
        <v>144000</v>
      </c>
      <c r="E50" s="1444">
        <v>45720</v>
      </c>
      <c r="F50" s="1444">
        <v>45720</v>
      </c>
      <c r="G50" s="1444">
        <v>45720</v>
      </c>
      <c r="H50" s="1444">
        <v>45720</v>
      </c>
      <c r="I50" s="1462">
        <f t="shared" si="7"/>
        <v>281160</v>
      </c>
    </row>
    <row r="51" spans="1:9" s="1463" customFormat="1" ht="33.75" x14ac:dyDescent="0.2">
      <c r="A51" s="1446" t="s">
        <v>600</v>
      </c>
      <c r="B51" s="1465" t="s">
        <v>781</v>
      </c>
      <c r="C51" s="1448" t="s">
        <v>494</v>
      </c>
      <c r="D51" s="1449">
        <v>448000</v>
      </c>
      <c r="E51" s="1449">
        <v>50800</v>
      </c>
      <c r="F51" s="1449">
        <v>50800</v>
      </c>
      <c r="G51" s="1449">
        <v>50800</v>
      </c>
      <c r="H51" s="1449">
        <v>50800</v>
      </c>
      <c r="I51" s="1462">
        <f t="shared" si="7"/>
        <v>600400</v>
      </c>
    </row>
    <row r="52" spans="1:9" s="1221" customFormat="1" ht="69" customHeight="1" x14ac:dyDescent="0.2">
      <c r="A52" s="1632" t="s">
        <v>14</v>
      </c>
      <c r="B52" s="1632"/>
      <c r="C52" s="1466"/>
      <c r="D52" s="1467">
        <f t="shared" ref="D52:I52" si="8">D31+D19+D7</f>
        <v>117314743</v>
      </c>
      <c r="E52" s="1467">
        <f t="shared" si="8"/>
        <v>214220747</v>
      </c>
      <c r="F52" s="1467">
        <f t="shared" si="8"/>
        <v>1752916825</v>
      </c>
      <c r="G52" s="1467">
        <f t="shared" si="8"/>
        <v>26595464</v>
      </c>
      <c r="H52" s="1467">
        <f t="shared" si="8"/>
        <v>26595464</v>
      </c>
      <c r="I52" s="1467">
        <f t="shared" si="8"/>
        <v>2125594757</v>
      </c>
    </row>
    <row r="53" spans="1:9" s="1221" customFormat="1" ht="69" customHeight="1" x14ac:dyDescent="0.2">
      <c r="A53"/>
      <c r="B53"/>
      <c r="C53"/>
      <c r="D53"/>
      <c r="E53"/>
      <c r="F53"/>
      <c r="G53"/>
      <c r="H53"/>
      <c r="I53"/>
    </row>
    <row r="54" spans="1:9" s="1221" customFormat="1" ht="69" customHeight="1" x14ac:dyDescent="0.2">
      <c r="A54"/>
      <c r="B54"/>
      <c r="C54"/>
      <c r="D54"/>
      <c r="E54"/>
      <c r="F54"/>
      <c r="G54"/>
      <c r="H54"/>
      <c r="I54"/>
    </row>
    <row r="55" spans="1:9" s="1221" customFormat="1" ht="69" customHeight="1" x14ac:dyDescent="0.2">
      <c r="A55"/>
      <c r="B55"/>
      <c r="C55"/>
      <c r="D55"/>
      <c r="E55"/>
      <c r="F55"/>
      <c r="G55"/>
      <c r="H55"/>
      <c r="I55"/>
    </row>
    <row r="56" spans="1:9" s="1221" customFormat="1" ht="69" customHeight="1" x14ac:dyDescent="0.2">
      <c r="A56"/>
      <c r="B56"/>
      <c r="C56"/>
      <c r="D56"/>
      <c r="E56"/>
      <c r="F56"/>
      <c r="G56"/>
      <c r="H56"/>
      <c r="I56"/>
    </row>
    <row r="57" spans="1:9" s="1221" customFormat="1" ht="69" customHeight="1" x14ac:dyDescent="0.2">
      <c r="A57"/>
      <c r="B57"/>
      <c r="C57"/>
      <c r="D57"/>
      <c r="E57"/>
      <c r="F57"/>
      <c r="G57"/>
      <c r="H57"/>
      <c r="I57"/>
    </row>
    <row r="58" spans="1:9" s="1221" customFormat="1" ht="69" customHeight="1" x14ac:dyDescent="0.2">
      <c r="A58"/>
      <c r="B58"/>
      <c r="C58"/>
      <c r="D58"/>
      <c r="E58"/>
      <c r="F58"/>
      <c r="G58"/>
      <c r="H58"/>
      <c r="I58"/>
    </row>
    <row r="59" spans="1:9" s="1221" customFormat="1" ht="69" customHeight="1" x14ac:dyDescent="0.2">
      <c r="A59"/>
      <c r="B59"/>
      <c r="C59"/>
      <c r="D59"/>
      <c r="E59"/>
      <c r="F59"/>
      <c r="G59"/>
      <c r="H59"/>
      <c r="I59"/>
    </row>
    <row r="60" spans="1:9" s="1221" customFormat="1" ht="69" customHeight="1" x14ac:dyDescent="0.2">
      <c r="A60"/>
      <c r="B60"/>
      <c r="C60"/>
      <c r="D60"/>
      <c r="E60"/>
      <c r="F60"/>
      <c r="G60"/>
      <c r="H60"/>
      <c r="I60"/>
    </row>
    <row r="61" spans="1:9" s="1215" customFormat="1" ht="69" customHeight="1" x14ac:dyDescent="0.2">
      <c r="A61"/>
      <c r="B61"/>
      <c r="C61"/>
      <c r="D61"/>
      <c r="E61"/>
      <c r="F61"/>
      <c r="G61"/>
      <c r="H61"/>
      <c r="I61"/>
    </row>
  </sheetData>
  <mergeCells count="9">
    <mergeCell ref="A52:B52"/>
    <mergeCell ref="E3:E4"/>
    <mergeCell ref="A1:I1"/>
    <mergeCell ref="A3:A4"/>
    <mergeCell ref="B3:B4"/>
    <mergeCell ref="C3:C4"/>
    <mergeCell ref="D3:D4"/>
    <mergeCell ref="F3:H3"/>
    <mergeCell ref="I3:I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&amp;R9. sz. melléklet
...../2018. (....) Egyek Önk.</oddHeader>
  </headerFooter>
  <rowBreaks count="4" manualBreakCount="4">
    <brk id="11" max="9" man="1"/>
    <brk id="18" max="16383" man="1"/>
    <brk id="45" max="16383" man="1"/>
    <brk id="52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6" zoomScale="110" zoomScaleNormal="110" zoomScaleSheetLayoutView="136" workbookViewId="0">
      <selection activeCell="E34" sqref="E34"/>
    </sheetView>
  </sheetViews>
  <sheetFormatPr defaultColWidth="9.140625" defaultRowHeight="12.75" x14ac:dyDescent="0.2"/>
  <cols>
    <col min="1" max="1" width="2.28515625" style="350" customWidth="1"/>
    <col min="2" max="2" width="62.42578125" style="350" customWidth="1"/>
    <col min="3" max="3" width="19.42578125" style="350" hidden="1" customWidth="1"/>
    <col min="4" max="4" width="14.28515625" style="350" customWidth="1"/>
    <col min="5" max="5" width="18.42578125" style="1063" customWidth="1"/>
    <col min="6" max="6" width="14.5703125" style="1064" customWidth="1"/>
    <col min="7" max="7" width="18.28515625" style="1064" customWidth="1"/>
    <col min="8" max="8" width="18.140625" style="350" customWidth="1"/>
    <col min="9" max="16384" width="9.140625" style="350"/>
  </cols>
  <sheetData>
    <row r="1" spans="2:8" ht="15" x14ac:dyDescent="0.25">
      <c r="B1" s="407" t="s">
        <v>276</v>
      </c>
    </row>
    <row r="2" spans="2:8" x14ac:dyDescent="0.2">
      <c r="B2" s="408"/>
    </row>
    <row r="3" spans="2:8" ht="15.75" x14ac:dyDescent="0.25">
      <c r="B3" s="1266"/>
      <c r="C3" s="1266"/>
      <c r="D3" s="1266"/>
      <c r="E3" s="1266"/>
      <c r="F3" s="1266"/>
      <c r="G3" s="1266"/>
    </row>
    <row r="4" spans="2:8" ht="15.75" x14ac:dyDescent="0.25">
      <c r="B4" s="1266"/>
      <c r="C4" s="1266"/>
      <c r="D4" s="1266"/>
      <c r="E4" s="1266"/>
      <c r="F4" s="1266"/>
      <c r="G4" s="1266"/>
    </row>
    <row r="5" spans="2:8" ht="15.75" x14ac:dyDescent="0.25">
      <c r="B5" s="1644" t="s">
        <v>635</v>
      </c>
      <c r="C5" s="1644"/>
      <c r="D5" s="1644"/>
      <c r="E5" s="1644"/>
      <c r="F5" s="1644"/>
      <c r="G5" s="1644"/>
      <c r="H5" s="1644"/>
    </row>
    <row r="6" spans="2:8" ht="15.75" x14ac:dyDescent="0.25">
      <c r="B6" s="1251"/>
      <c r="C6" s="1251"/>
      <c r="D6" s="1251"/>
      <c r="E6" s="1251"/>
      <c r="F6" s="1251"/>
      <c r="G6" s="1251"/>
    </row>
    <row r="7" spans="2:8" ht="15.75" x14ac:dyDescent="0.25">
      <c r="B7" s="1645" t="s">
        <v>277</v>
      </c>
      <c r="C7" s="1645"/>
      <c r="D7" s="1645"/>
      <c r="E7" s="1645"/>
      <c r="F7" s="1645"/>
      <c r="G7" s="1645"/>
      <c r="H7" s="1645"/>
    </row>
    <row r="8" spans="2:8" ht="15.75" x14ac:dyDescent="0.25">
      <c r="B8" s="1266"/>
      <c r="C8" s="1266"/>
      <c r="D8" s="1266"/>
      <c r="E8" s="1266"/>
      <c r="F8" s="1266"/>
      <c r="G8" s="1266"/>
    </row>
    <row r="9" spans="2:8" ht="15.75" x14ac:dyDescent="0.25">
      <c r="B9" s="1644" t="s">
        <v>278</v>
      </c>
      <c r="C9" s="1644"/>
      <c r="D9" s="1644"/>
      <c r="E9" s="1644"/>
      <c r="F9" s="1644"/>
      <c r="G9" s="1644"/>
      <c r="H9" s="1644"/>
    </row>
    <row r="10" spans="2:8" ht="15.75" x14ac:dyDescent="0.25">
      <c r="B10" s="1644" t="s">
        <v>519</v>
      </c>
      <c r="C10" s="1644"/>
      <c r="D10" s="1644"/>
      <c r="E10" s="1644"/>
      <c r="F10" s="1644"/>
      <c r="G10" s="1644"/>
      <c r="H10" s="1644"/>
    </row>
    <row r="11" spans="2:8" ht="15.75" x14ac:dyDescent="0.25">
      <c r="B11" s="1251"/>
      <c r="C11" s="1251"/>
      <c r="D11" s="1251"/>
      <c r="E11" s="1251"/>
      <c r="F11" s="1251"/>
      <c r="G11" s="1251"/>
    </row>
    <row r="12" spans="2:8" ht="16.5" thickBot="1" x14ac:dyDescent="0.3">
      <c r="B12" s="1065"/>
      <c r="C12" s="1065"/>
      <c r="D12" s="1065"/>
      <c r="E12" s="1065"/>
      <c r="G12" s="1065"/>
      <c r="H12" s="1272" t="s">
        <v>184</v>
      </c>
    </row>
    <row r="13" spans="2:8" ht="19.5" thickBot="1" x14ac:dyDescent="0.35">
      <c r="B13" s="1066"/>
      <c r="C13" s="1067"/>
      <c r="D13" s="1068"/>
      <c r="E13" s="1646" t="s">
        <v>636</v>
      </c>
      <c r="F13" s="1647"/>
      <c r="G13" s="1646" t="s">
        <v>637</v>
      </c>
      <c r="H13" s="1647"/>
    </row>
    <row r="14" spans="2:8" ht="27.75" customHeight="1" thickBot="1" x14ac:dyDescent="0.25">
      <c r="B14" s="1273" t="s">
        <v>279</v>
      </c>
      <c r="C14" s="1274" t="s">
        <v>237</v>
      </c>
      <c r="D14" s="1259" t="s">
        <v>237</v>
      </c>
      <c r="E14" s="1275" t="s">
        <v>280</v>
      </c>
      <c r="F14" s="1262" t="s">
        <v>281</v>
      </c>
      <c r="G14" s="1262" t="s">
        <v>280</v>
      </c>
      <c r="H14" s="1262" t="s">
        <v>281</v>
      </c>
    </row>
    <row r="15" spans="2:8" ht="13.5" customHeight="1" thickBot="1" x14ac:dyDescent="0.25">
      <c r="B15" s="1255"/>
      <c r="C15" s="1257"/>
      <c r="D15" s="1260"/>
      <c r="E15" s="1276"/>
      <c r="F15" s="1263"/>
      <c r="G15" s="1263"/>
      <c r="H15" s="1263"/>
    </row>
    <row r="16" spans="2:8" ht="12.75" customHeight="1" thickBot="1" x14ac:dyDescent="0.25">
      <c r="B16" s="1256"/>
      <c r="C16" s="1258"/>
      <c r="D16" s="1261"/>
      <c r="E16" s="1264" t="s">
        <v>282</v>
      </c>
      <c r="F16" s="1265"/>
      <c r="G16" s="1264" t="s">
        <v>282</v>
      </c>
      <c r="H16" s="1265"/>
    </row>
    <row r="17" spans="2:8" ht="13.5" thickBot="1" x14ac:dyDescent="0.25">
      <c r="B17" s="878">
        <v>1</v>
      </c>
      <c r="C17" s="879" t="s">
        <v>308</v>
      </c>
      <c r="D17" s="880">
        <v>2</v>
      </c>
      <c r="E17" s="880">
        <v>3</v>
      </c>
      <c r="F17" s="880">
        <v>4</v>
      </c>
      <c r="G17" s="880">
        <v>3</v>
      </c>
      <c r="H17" s="880">
        <v>4</v>
      </c>
    </row>
    <row r="18" spans="2:8" s="1278" customFormat="1" x14ac:dyDescent="0.2">
      <c r="B18" s="529" t="s">
        <v>638</v>
      </c>
      <c r="C18" s="1277" t="s">
        <v>283</v>
      </c>
      <c r="D18" s="718" t="s">
        <v>0</v>
      </c>
      <c r="E18" s="881">
        <v>36313382</v>
      </c>
      <c r="F18" s="882">
        <v>2254507</v>
      </c>
      <c r="G18" s="881">
        <v>38843122</v>
      </c>
      <c r="H18" s="882">
        <v>3702713</v>
      </c>
    </row>
    <row r="19" spans="2:8" s="1278" customFormat="1" x14ac:dyDescent="0.2">
      <c r="B19" s="530" t="s">
        <v>367</v>
      </c>
      <c r="C19" s="720" t="s">
        <v>284</v>
      </c>
      <c r="D19" s="718" t="s">
        <v>4</v>
      </c>
      <c r="E19" s="883">
        <v>3549371303</v>
      </c>
      <c r="F19" s="884">
        <v>2747018711</v>
      </c>
      <c r="G19" s="883">
        <f>G20+G25+G35</f>
        <v>4490858403</v>
      </c>
      <c r="H19" s="884">
        <f>H20+H25+H35</f>
        <v>3593038319</v>
      </c>
    </row>
    <row r="20" spans="2:8" s="1278" customFormat="1" x14ac:dyDescent="0.2">
      <c r="B20" s="530" t="s">
        <v>368</v>
      </c>
      <c r="C20" s="720" t="s">
        <v>285</v>
      </c>
      <c r="D20" s="718" t="s">
        <v>8</v>
      </c>
      <c r="E20" s="883">
        <v>2935751111</v>
      </c>
      <c r="F20" s="884">
        <v>2487178289</v>
      </c>
      <c r="G20" s="883">
        <f>G21+G22+G23+G24</f>
        <v>3127863775</v>
      </c>
      <c r="H20" s="884">
        <f>H21+H22+H23+H24</f>
        <v>2616234554</v>
      </c>
    </row>
    <row r="21" spans="2:8" x14ac:dyDescent="0.2">
      <c r="B21" s="531" t="s">
        <v>369</v>
      </c>
      <c r="C21" s="532" t="s">
        <v>286</v>
      </c>
      <c r="D21" s="533" t="s">
        <v>2</v>
      </c>
      <c r="E21" s="1279">
        <v>482379044</v>
      </c>
      <c r="F21" s="1280">
        <v>368703228</v>
      </c>
      <c r="G21" s="1279">
        <v>619279595</v>
      </c>
      <c r="H21" s="1280">
        <v>492561734</v>
      </c>
    </row>
    <row r="22" spans="2:8" ht="22.5" x14ac:dyDescent="0.2">
      <c r="B22" s="531" t="s">
        <v>370</v>
      </c>
      <c r="C22" s="532" t="s">
        <v>287</v>
      </c>
      <c r="D22" s="533" t="s">
        <v>5</v>
      </c>
      <c r="E22" s="885"/>
      <c r="F22" s="886"/>
      <c r="G22" s="885"/>
      <c r="H22" s="886"/>
    </row>
    <row r="23" spans="2:8" x14ac:dyDescent="0.2">
      <c r="B23" s="531" t="s">
        <v>371</v>
      </c>
      <c r="C23" s="532" t="s">
        <v>288</v>
      </c>
      <c r="D23" s="533" t="s">
        <v>9</v>
      </c>
      <c r="E23" s="885">
        <v>2018099502</v>
      </c>
      <c r="F23" s="886">
        <v>1733855659</v>
      </c>
      <c r="G23" s="885">
        <v>2038259655</v>
      </c>
      <c r="H23" s="886">
        <v>1712741527</v>
      </c>
    </row>
    <row r="24" spans="2:8" x14ac:dyDescent="0.2">
      <c r="B24" s="531" t="s">
        <v>372</v>
      </c>
      <c r="C24" s="532" t="s">
        <v>289</v>
      </c>
      <c r="D24" s="533" t="s">
        <v>3</v>
      </c>
      <c r="E24" s="885">
        <v>435272565</v>
      </c>
      <c r="F24" s="886">
        <v>384619402</v>
      </c>
      <c r="G24" s="885">
        <v>470324525</v>
      </c>
      <c r="H24" s="886">
        <v>410931293</v>
      </c>
    </row>
    <row r="25" spans="2:8" s="1278" customFormat="1" x14ac:dyDescent="0.2">
      <c r="B25" s="530" t="s">
        <v>373</v>
      </c>
      <c r="C25" s="720" t="s">
        <v>290</v>
      </c>
      <c r="D25" s="718" t="s">
        <v>10</v>
      </c>
      <c r="E25" s="887">
        <v>453832437</v>
      </c>
      <c r="F25" s="888">
        <v>100052667</v>
      </c>
      <c r="G25" s="887">
        <f>G26+G27+G28+G29</f>
        <v>454901798</v>
      </c>
      <c r="H25" s="888">
        <f>H26+H27+H28+H29</f>
        <v>68710935</v>
      </c>
    </row>
    <row r="26" spans="2:8" x14ac:dyDescent="0.2">
      <c r="B26" s="531" t="s">
        <v>374</v>
      </c>
      <c r="C26" s="532" t="s">
        <v>309</v>
      </c>
      <c r="D26" s="533" t="s">
        <v>6</v>
      </c>
      <c r="E26" s="885"/>
      <c r="F26" s="886"/>
      <c r="G26" s="885"/>
      <c r="H26" s="886"/>
    </row>
    <row r="27" spans="2:8" ht="22.5" x14ac:dyDescent="0.2">
      <c r="B27" s="531" t="s">
        <v>375</v>
      </c>
      <c r="C27" s="532" t="s">
        <v>1</v>
      </c>
      <c r="D27" s="533" t="s">
        <v>1</v>
      </c>
      <c r="E27" s="885"/>
      <c r="F27" s="886"/>
      <c r="G27" s="885"/>
      <c r="H27" s="886"/>
    </row>
    <row r="28" spans="2:8" x14ac:dyDescent="0.2">
      <c r="B28" s="531" t="s">
        <v>376</v>
      </c>
      <c r="C28" s="532" t="s">
        <v>7</v>
      </c>
      <c r="D28" s="533" t="s">
        <v>7</v>
      </c>
      <c r="E28" s="885">
        <v>82173667</v>
      </c>
      <c r="F28" s="886">
        <v>22951866</v>
      </c>
      <c r="G28" s="885">
        <v>83654230</v>
      </c>
      <c r="H28" s="886">
        <v>19799861</v>
      </c>
    </row>
    <row r="29" spans="2:8" x14ac:dyDescent="0.2">
      <c r="B29" s="531" t="s">
        <v>377</v>
      </c>
      <c r="C29" s="532" t="s">
        <v>15</v>
      </c>
      <c r="D29" s="533" t="s">
        <v>15</v>
      </c>
      <c r="E29" s="885">
        <v>371658770</v>
      </c>
      <c r="F29" s="886">
        <v>77100801</v>
      </c>
      <c r="G29" s="885">
        <v>371247568</v>
      </c>
      <c r="H29" s="886">
        <v>48911074</v>
      </c>
    </row>
    <row r="30" spans="2:8" s="1278" customFormat="1" x14ac:dyDescent="0.2">
      <c r="B30" s="530" t="s">
        <v>378</v>
      </c>
      <c r="C30" s="720" t="s">
        <v>13</v>
      </c>
      <c r="D30" s="718" t="s">
        <v>13</v>
      </c>
      <c r="E30" s="887">
        <v>0</v>
      </c>
      <c r="F30" s="888">
        <v>0</v>
      </c>
      <c r="G30" s="887">
        <f>+G31+G32+G33+G34</f>
        <v>0</v>
      </c>
      <c r="H30" s="888">
        <f>+H31+H32+H33+H34</f>
        <v>0</v>
      </c>
    </row>
    <row r="31" spans="2:8" x14ac:dyDescent="0.2">
      <c r="B31" s="531" t="s">
        <v>379</v>
      </c>
      <c r="C31" s="532" t="s">
        <v>25</v>
      </c>
      <c r="D31" s="533" t="s">
        <v>25</v>
      </c>
      <c r="E31" s="885"/>
      <c r="F31" s="886"/>
      <c r="G31" s="885"/>
      <c r="H31" s="886"/>
    </row>
    <row r="32" spans="2:8" x14ac:dyDescent="0.2">
      <c r="B32" s="531" t="s">
        <v>380</v>
      </c>
      <c r="C32" s="532" t="s">
        <v>28</v>
      </c>
      <c r="D32" s="533" t="s">
        <v>28</v>
      </c>
      <c r="E32" s="885"/>
      <c r="F32" s="886"/>
      <c r="G32" s="885"/>
      <c r="H32" s="886"/>
    </row>
    <row r="33" spans="2:8" x14ac:dyDescent="0.2">
      <c r="B33" s="531" t="s">
        <v>381</v>
      </c>
      <c r="C33" s="532" t="s">
        <v>26</v>
      </c>
      <c r="D33" s="533" t="s">
        <v>26</v>
      </c>
      <c r="E33" s="885"/>
      <c r="F33" s="886"/>
      <c r="G33" s="885"/>
      <c r="H33" s="886"/>
    </row>
    <row r="34" spans="2:8" x14ac:dyDescent="0.2">
      <c r="B34" s="719" t="s">
        <v>382</v>
      </c>
      <c r="C34" s="720" t="s">
        <v>27</v>
      </c>
      <c r="D34" s="718" t="s">
        <v>27</v>
      </c>
      <c r="E34" s="891"/>
      <c r="F34" s="892"/>
      <c r="G34" s="891"/>
      <c r="H34" s="892"/>
    </row>
    <row r="35" spans="2:8" s="1278" customFormat="1" x14ac:dyDescent="0.2">
      <c r="B35" s="530" t="s">
        <v>383</v>
      </c>
      <c r="C35" s="720" t="s">
        <v>29</v>
      </c>
      <c r="D35" s="718" t="s">
        <v>29</v>
      </c>
      <c r="E35" s="887">
        <v>159787755</v>
      </c>
      <c r="F35" s="888">
        <v>159787755</v>
      </c>
      <c r="G35" s="887">
        <f>G36+G37+G38+G39</f>
        <v>908092830</v>
      </c>
      <c r="H35" s="888">
        <f>H36+H37+H38+H39</f>
        <v>908092830</v>
      </c>
    </row>
    <row r="36" spans="2:8" x14ac:dyDescent="0.2">
      <c r="B36" s="531" t="s">
        <v>384</v>
      </c>
      <c r="C36" s="532" t="s">
        <v>30</v>
      </c>
      <c r="D36" s="533" t="s">
        <v>30</v>
      </c>
      <c r="E36" s="885">
        <v>47555636</v>
      </c>
      <c r="F36" s="886">
        <v>47555636</v>
      </c>
      <c r="G36" s="885">
        <v>38516585</v>
      </c>
      <c r="H36" s="886">
        <v>38516585</v>
      </c>
    </row>
    <row r="37" spans="2:8" x14ac:dyDescent="0.2">
      <c r="B37" s="531" t="s">
        <v>385</v>
      </c>
      <c r="C37" s="532" t="s">
        <v>31</v>
      </c>
      <c r="D37" s="533" t="s">
        <v>31</v>
      </c>
      <c r="E37" s="885"/>
      <c r="F37" s="886"/>
      <c r="G37" s="885"/>
      <c r="H37" s="886"/>
    </row>
    <row r="38" spans="2:8" x14ac:dyDescent="0.2">
      <c r="B38" s="531" t="s">
        <v>386</v>
      </c>
      <c r="C38" s="532" t="s">
        <v>12</v>
      </c>
      <c r="D38" s="533" t="s">
        <v>12</v>
      </c>
      <c r="E38" s="885">
        <v>48984247</v>
      </c>
      <c r="F38" s="886">
        <v>48984247</v>
      </c>
      <c r="G38" s="885">
        <v>815780137</v>
      </c>
      <c r="H38" s="886">
        <v>815780137</v>
      </c>
    </row>
    <row r="39" spans="2:8" x14ac:dyDescent="0.2">
      <c r="B39" s="531" t="s">
        <v>387</v>
      </c>
      <c r="C39" s="532" t="s">
        <v>32</v>
      </c>
      <c r="D39" s="533" t="s">
        <v>32</v>
      </c>
      <c r="E39" s="885">
        <v>63247872</v>
      </c>
      <c r="F39" s="886">
        <v>63247872</v>
      </c>
      <c r="G39" s="885">
        <v>53796108</v>
      </c>
      <c r="H39" s="886">
        <v>53796108</v>
      </c>
    </row>
    <row r="40" spans="2:8" s="1278" customFormat="1" x14ac:dyDescent="0.2">
      <c r="B40" s="530" t="s">
        <v>388</v>
      </c>
      <c r="C40" s="720" t="s">
        <v>33</v>
      </c>
      <c r="D40" s="718" t="s">
        <v>33</v>
      </c>
      <c r="E40" s="887">
        <v>0</v>
      </c>
      <c r="F40" s="888">
        <v>0</v>
      </c>
      <c r="G40" s="887">
        <f>+G41+G42+G43+G44</f>
        <v>0</v>
      </c>
      <c r="H40" s="888">
        <f>+H41+H42+H43+H44</f>
        <v>0</v>
      </c>
    </row>
    <row r="41" spans="2:8" x14ac:dyDescent="0.2">
      <c r="B41" s="531" t="s">
        <v>389</v>
      </c>
      <c r="C41" s="532" t="s">
        <v>34</v>
      </c>
      <c r="D41" s="533" t="s">
        <v>34</v>
      </c>
      <c r="E41" s="885"/>
      <c r="F41" s="886"/>
      <c r="G41" s="885"/>
      <c r="H41" s="886"/>
    </row>
    <row r="42" spans="2:8" ht="22.5" x14ac:dyDescent="0.2">
      <c r="B42" s="531" t="s">
        <v>390</v>
      </c>
      <c r="C42" s="532" t="s">
        <v>37</v>
      </c>
      <c r="D42" s="533" t="s">
        <v>37</v>
      </c>
      <c r="E42" s="885"/>
      <c r="F42" s="886"/>
      <c r="G42" s="885"/>
      <c r="H42" s="886"/>
    </row>
    <row r="43" spans="2:8" x14ac:dyDescent="0.2">
      <c r="B43" s="531" t="s">
        <v>391</v>
      </c>
      <c r="C43" s="532" t="s">
        <v>38</v>
      </c>
      <c r="D43" s="533" t="s">
        <v>38</v>
      </c>
      <c r="E43" s="885"/>
      <c r="F43" s="886"/>
      <c r="G43" s="885"/>
      <c r="H43" s="886"/>
    </row>
    <row r="44" spans="2:8" x14ac:dyDescent="0.2">
      <c r="B44" s="531" t="s">
        <v>392</v>
      </c>
      <c r="C44" s="532" t="s">
        <v>39</v>
      </c>
      <c r="D44" s="533" t="s">
        <v>39</v>
      </c>
      <c r="E44" s="885"/>
      <c r="F44" s="886"/>
      <c r="G44" s="885"/>
      <c r="H44" s="886"/>
    </row>
    <row r="45" spans="2:8" s="1278" customFormat="1" x14ac:dyDescent="0.2">
      <c r="B45" s="530" t="s">
        <v>393</v>
      </c>
      <c r="C45" s="720" t="s">
        <v>159</v>
      </c>
      <c r="D45" s="718" t="s">
        <v>159</v>
      </c>
      <c r="E45" s="887">
        <v>251056200</v>
      </c>
      <c r="F45" s="887">
        <v>59069765</v>
      </c>
      <c r="G45" s="887">
        <f t="shared" ref="G45:H45" si="0">G46+G51+G56</f>
        <v>3156200</v>
      </c>
      <c r="H45" s="888">
        <f t="shared" si="0"/>
        <v>3092920</v>
      </c>
    </row>
    <row r="46" spans="2:8" s="1278" customFormat="1" x14ac:dyDescent="0.2">
      <c r="B46" s="530" t="s">
        <v>394</v>
      </c>
      <c r="C46" s="720" t="s">
        <v>160</v>
      </c>
      <c r="D46" s="718" t="s">
        <v>160</v>
      </c>
      <c r="E46" s="887">
        <v>251056200</v>
      </c>
      <c r="F46" s="888">
        <v>59069765</v>
      </c>
      <c r="G46" s="887">
        <f>G47+G48+G49+G50</f>
        <v>3156200</v>
      </c>
      <c r="H46" s="888">
        <f>H47+H48+H49+H50</f>
        <v>3092920</v>
      </c>
    </row>
    <row r="47" spans="2:8" ht="13.5" customHeight="1" x14ac:dyDescent="0.2">
      <c r="B47" s="531" t="s">
        <v>395</v>
      </c>
      <c r="C47" s="532" t="s">
        <v>161</v>
      </c>
      <c r="D47" s="533" t="s">
        <v>161</v>
      </c>
      <c r="E47" s="885"/>
      <c r="F47" s="886"/>
      <c r="G47" s="885"/>
      <c r="H47" s="886"/>
    </row>
    <row r="48" spans="2:8" ht="13.5" customHeight="1" x14ac:dyDescent="0.2">
      <c r="B48" s="531" t="s">
        <v>396</v>
      </c>
      <c r="C48" s="532" t="s">
        <v>167</v>
      </c>
      <c r="D48" s="533" t="s">
        <v>167</v>
      </c>
      <c r="E48" s="885">
        <v>7200</v>
      </c>
      <c r="F48" s="886">
        <v>7200</v>
      </c>
      <c r="G48" s="885">
        <v>7200</v>
      </c>
      <c r="H48" s="886">
        <v>7200</v>
      </c>
    </row>
    <row r="49" spans="1:8" x14ac:dyDescent="0.2">
      <c r="B49" s="531" t="s">
        <v>397</v>
      </c>
      <c r="C49" s="532" t="s">
        <v>168</v>
      </c>
      <c r="D49" s="533" t="s">
        <v>168</v>
      </c>
      <c r="E49" s="885"/>
      <c r="F49" s="886"/>
      <c r="G49" s="885"/>
      <c r="H49" s="886"/>
    </row>
    <row r="50" spans="1:8" x14ac:dyDescent="0.2">
      <c r="B50" s="531" t="s">
        <v>398</v>
      </c>
      <c r="C50" s="532" t="s">
        <v>169</v>
      </c>
      <c r="D50" s="533" t="s">
        <v>169</v>
      </c>
      <c r="E50" s="885">
        <v>251049000</v>
      </c>
      <c r="F50" s="886">
        <v>59062565</v>
      </c>
      <c r="G50" s="885">
        <v>3149000</v>
      </c>
      <c r="H50" s="886">
        <v>3085720</v>
      </c>
    </row>
    <row r="51" spans="1:8" s="1278" customFormat="1" x14ac:dyDescent="0.2">
      <c r="B51" s="530" t="s">
        <v>399</v>
      </c>
      <c r="C51" s="720" t="s">
        <v>170</v>
      </c>
      <c r="D51" s="718" t="s">
        <v>170</v>
      </c>
      <c r="E51" s="887">
        <v>0</v>
      </c>
      <c r="F51" s="888">
        <v>0</v>
      </c>
      <c r="G51" s="887">
        <f>+G52+G53+G54+G55</f>
        <v>0</v>
      </c>
      <c r="H51" s="888">
        <f>+H52+H53+H54+H55</f>
        <v>0</v>
      </c>
    </row>
    <row r="52" spans="1:8" ht="14.25" customHeight="1" x14ac:dyDescent="0.2">
      <c r="B52" s="531" t="s">
        <v>400</v>
      </c>
      <c r="C52" s="532" t="s">
        <v>171</v>
      </c>
      <c r="D52" s="533" t="s">
        <v>171</v>
      </c>
      <c r="E52" s="885"/>
      <c r="F52" s="886"/>
      <c r="G52" s="885"/>
      <c r="H52" s="886"/>
    </row>
    <row r="53" spans="1:8" ht="22.5" x14ac:dyDescent="0.2">
      <c r="B53" s="531" t="s">
        <v>401</v>
      </c>
      <c r="C53" s="532" t="s">
        <v>172</v>
      </c>
      <c r="D53" s="533" t="s">
        <v>172</v>
      </c>
      <c r="E53" s="885"/>
      <c r="F53" s="886"/>
      <c r="G53" s="885"/>
      <c r="H53" s="886"/>
    </row>
    <row r="54" spans="1:8" ht="14.25" customHeight="1" x14ac:dyDescent="0.2">
      <c r="B54" s="531" t="s">
        <v>402</v>
      </c>
      <c r="C54" s="532" t="s">
        <v>173</v>
      </c>
      <c r="D54" s="533" t="s">
        <v>173</v>
      </c>
      <c r="E54" s="885"/>
      <c r="F54" s="886"/>
      <c r="G54" s="885"/>
      <c r="H54" s="886"/>
    </row>
    <row r="55" spans="1:8" s="370" customFormat="1" x14ac:dyDescent="0.2">
      <c r="B55" s="531" t="s">
        <v>403</v>
      </c>
      <c r="C55" s="532" t="s">
        <v>174</v>
      </c>
      <c r="D55" s="533" t="s">
        <v>174</v>
      </c>
      <c r="E55" s="885"/>
      <c r="F55" s="886"/>
      <c r="G55" s="885"/>
      <c r="H55" s="886"/>
    </row>
    <row r="56" spans="1:8" s="370" customFormat="1" x14ac:dyDescent="0.2">
      <c r="B56" s="530" t="s">
        <v>404</v>
      </c>
      <c r="C56" s="532" t="s">
        <v>175</v>
      </c>
      <c r="D56" s="1281" t="s">
        <v>175</v>
      </c>
      <c r="E56" s="889">
        <v>0</v>
      </c>
      <c r="F56" s="890">
        <v>0</v>
      </c>
      <c r="G56" s="889">
        <f>+G57+G58+G59+G60</f>
        <v>0</v>
      </c>
      <c r="H56" s="890">
        <f>+H57+H58+H59+H60</f>
        <v>0</v>
      </c>
    </row>
    <row r="57" spans="1:8" s="1064" customFormat="1" x14ac:dyDescent="0.2">
      <c r="A57" s="370"/>
      <c r="B57" s="531" t="s">
        <v>405</v>
      </c>
      <c r="C57" s="532" t="s">
        <v>406</v>
      </c>
      <c r="D57" s="533" t="s">
        <v>406</v>
      </c>
      <c r="E57" s="885"/>
      <c r="F57" s="886"/>
      <c r="G57" s="885"/>
      <c r="H57" s="886"/>
    </row>
    <row r="58" spans="1:8" s="1064" customFormat="1" ht="22.5" x14ac:dyDescent="0.2">
      <c r="A58" s="370"/>
      <c r="B58" s="531" t="s">
        <v>407</v>
      </c>
      <c r="C58" s="532" t="s">
        <v>408</v>
      </c>
      <c r="D58" s="533" t="s">
        <v>408</v>
      </c>
      <c r="E58" s="885"/>
      <c r="F58" s="886"/>
      <c r="G58" s="885"/>
      <c r="H58" s="886"/>
    </row>
    <row r="59" spans="1:8" s="1064" customFormat="1" x14ac:dyDescent="0.2">
      <c r="A59" s="370"/>
      <c r="B59" s="531" t="s">
        <v>409</v>
      </c>
      <c r="C59" s="532" t="s">
        <v>410</v>
      </c>
      <c r="D59" s="533" t="s">
        <v>410</v>
      </c>
      <c r="E59" s="885"/>
      <c r="F59" s="886"/>
      <c r="G59" s="885"/>
      <c r="H59" s="886"/>
    </row>
    <row r="60" spans="1:8" s="1064" customFormat="1" x14ac:dyDescent="0.2">
      <c r="A60" s="370"/>
      <c r="B60" s="531" t="s">
        <v>411</v>
      </c>
      <c r="C60" s="532" t="s">
        <v>412</v>
      </c>
      <c r="D60" s="533" t="s">
        <v>412</v>
      </c>
      <c r="E60" s="885"/>
      <c r="F60" s="886"/>
      <c r="G60" s="885"/>
      <c r="H60" s="886"/>
    </row>
    <row r="61" spans="1:8" s="1064" customFormat="1" ht="13.5" thickBot="1" x14ac:dyDescent="0.25">
      <c r="A61" s="350"/>
      <c r="B61" s="893" t="s">
        <v>413</v>
      </c>
      <c r="C61" s="894" t="s">
        <v>414</v>
      </c>
      <c r="D61" s="895" t="s">
        <v>414</v>
      </c>
      <c r="E61" s="896"/>
      <c r="F61" s="897"/>
      <c r="G61" s="896"/>
      <c r="H61" s="897"/>
    </row>
    <row r="62" spans="1:8" s="1064" customFormat="1" ht="21.75" thickBot="1" x14ac:dyDescent="0.25">
      <c r="A62" s="370"/>
      <c r="B62" s="448" t="s">
        <v>415</v>
      </c>
      <c r="C62" s="898" t="s">
        <v>416</v>
      </c>
      <c r="D62" s="899" t="s">
        <v>416</v>
      </c>
      <c r="E62" s="900">
        <v>3836740885</v>
      </c>
      <c r="F62" s="901">
        <v>2808342983</v>
      </c>
      <c r="G62" s="900">
        <f>+G18+G19+G45+G61</f>
        <v>4532857725</v>
      </c>
      <c r="H62" s="901">
        <f>+H18+H19+H45+H61</f>
        <v>3599833952</v>
      </c>
    </row>
    <row r="63" spans="1:8" s="1064" customFormat="1" x14ac:dyDescent="0.2">
      <c r="A63" s="370"/>
      <c r="B63" s="902" t="s">
        <v>292</v>
      </c>
      <c r="C63" s="903" t="s">
        <v>417</v>
      </c>
      <c r="D63" s="904" t="s">
        <v>417</v>
      </c>
      <c r="E63" s="905">
        <v>2374732</v>
      </c>
      <c r="F63" s="906">
        <v>2374732</v>
      </c>
      <c r="G63" s="905">
        <v>4230441</v>
      </c>
      <c r="H63" s="906">
        <v>4230441</v>
      </c>
    </row>
    <row r="64" spans="1:8" s="1064" customFormat="1" ht="13.5" thickBot="1" x14ac:dyDescent="0.25">
      <c r="A64" s="370"/>
      <c r="B64" s="893" t="s">
        <v>293</v>
      </c>
      <c r="C64" s="894" t="s">
        <v>418</v>
      </c>
      <c r="D64" s="895" t="s">
        <v>418</v>
      </c>
      <c r="E64" s="896"/>
      <c r="F64" s="897"/>
      <c r="G64" s="896"/>
      <c r="H64" s="897"/>
    </row>
    <row r="65" spans="1:8" s="1064" customFormat="1" ht="13.5" thickBot="1" x14ac:dyDescent="0.25">
      <c r="A65" s="350"/>
      <c r="B65" s="448" t="s">
        <v>419</v>
      </c>
      <c r="C65" s="898" t="s">
        <v>420</v>
      </c>
      <c r="D65" s="899" t="s">
        <v>420</v>
      </c>
      <c r="E65" s="900">
        <v>2374732</v>
      </c>
      <c r="F65" s="901">
        <v>2374732</v>
      </c>
      <c r="G65" s="900">
        <f>+G63+G64</f>
        <v>4230441</v>
      </c>
      <c r="H65" s="901">
        <f>+H63+H64</f>
        <v>4230441</v>
      </c>
    </row>
    <row r="66" spans="1:8" s="1064" customFormat="1" x14ac:dyDescent="0.2">
      <c r="A66" s="350"/>
      <c r="B66" s="902" t="s">
        <v>421</v>
      </c>
      <c r="C66" s="903" t="s">
        <v>422</v>
      </c>
      <c r="D66" s="904" t="s">
        <v>422</v>
      </c>
      <c r="E66" s="905"/>
      <c r="F66" s="906"/>
      <c r="G66" s="905"/>
      <c r="H66" s="906"/>
    </row>
    <row r="67" spans="1:8" s="1064" customFormat="1" x14ac:dyDescent="0.2">
      <c r="A67" s="350"/>
      <c r="B67" s="530" t="s">
        <v>423</v>
      </c>
      <c r="C67" s="532" t="s">
        <v>424</v>
      </c>
      <c r="D67" s="533" t="s">
        <v>424</v>
      </c>
      <c r="E67" s="885">
        <v>0</v>
      </c>
      <c r="F67" s="886">
        <v>0</v>
      </c>
      <c r="G67" s="885">
        <v>0</v>
      </c>
      <c r="H67" s="886">
        <v>0</v>
      </c>
    </row>
    <row r="68" spans="1:8" s="1064" customFormat="1" ht="12" customHeight="1" x14ac:dyDescent="0.2">
      <c r="A68" s="350"/>
      <c r="B68" s="530" t="s">
        <v>425</v>
      </c>
      <c r="C68" s="532" t="s">
        <v>426</v>
      </c>
      <c r="D68" s="533" t="s">
        <v>426</v>
      </c>
      <c r="E68" s="885">
        <v>217144473</v>
      </c>
      <c r="F68" s="886">
        <v>217144473</v>
      </c>
      <c r="G68" s="885">
        <v>143576637</v>
      </c>
      <c r="H68" s="886">
        <v>143576637</v>
      </c>
    </row>
    <row r="69" spans="1:8" ht="13.5" thickBot="1" x14ac:dyDescent="0.25">
      <c r="B69" s="893" t="s">
        <v>427</v>
      </c>
      <c r="C69" s="894" t="s">
        <v>428</v>
      </c>
      <c r="D69" s="895" t="s">
        <v>428</v>
      </c>
      <c r="E69" s="896"/>
      <c r="F69" s="897"/>
      <c r="G69" s="896"/>
      <c r="H69" s="897"/>
    </row>
    <row r="70" spans="1:8" ht="13.5" thickBot="1" x14ac:dyDescent="0.25">
      <c r="B70" s="448" t="s">
        <v>454</v>
      </c>
      <c r="C70" s="898" t="s">
        <v>429</v>
      </c>
      <c r="D70" s="907" t="s">
        <v>429</v>
      </c>
      <c r="E70" s="900">
        <v>217144473</v>
      </c>
      <c r="F70" s="901">
        <v>217144473</v>
      </c>
      <c r="G70" s="900">
        <f>+G66+G67+G68+G69</f>
        <v>143576637</v>
      </c>
      <c r="H70" s="901">
        <f>+H66+H67+H68+H69</f>
        <v>143576637</v>
      </c>
    </row>
    <row r="71" spans="1:8" ht="21.75" thickBot="1" x14ac:dyDescent="0.25">
      <c r="B71" s="448" t="s">
        <v>495</v>
      </c>
      <c r="C71" s="898" t="s">
        <v>431</v>
      </c>
      <c r="D71" s="907" t="s">
        <v>430</v>
      </c>
      <c r="E71" s="908">
        <v>4056260090</v>
      </c>
      <c r="F71" s="924">
        <v>3027862188</v>
      </c>
      <c r="G71" s="908">
        <f>+G62+G65+G70</f>
        <v>4680664803</v>
      </c>
      <c r="H71" s="924">
        <f>+H62+H65+H70</f>
        <v>3747641030</v>
      </c>
    </row>
    <row r="72" spans="1:8" ht="18.75" x14ac:dyDescent="0.3">
      <c r="B72" s="1004"/>
      <c r="C72" s="1004"/>
      <c r="D72" s="1004"/>
      <c r="E72" s="520"/>
      <c r="G72" s="350"/>
    </row>
    <row r="73" spans="1:8" ht="18.75" x14ac:dyDescent="0.3">
      <c r="B73" s="1004"/>
      <c r="C73" s="1004"/>
      <c r="D73" s="1004"/>
      <c r="E73" s="520"/>
      <c r="G73" s="350"/>
    </row>
    <row r="76" spans="1:8" ht="15" x14ac:dyDescent="0.25">
      <c r="B76" s="409" t="s">
        <v>42</v>
      </c>
      <c r="E76" s="1069"/>
    </row>
    <row r="77" spans="1:8" ht="15.75" x14ac:dyDescent="0.25">
      <c r="B77" s="1251" t="s">
        <v>639</v>
      </c>
      <c r="C77" s="1251"/>
      <c r="D77" s="1251"/>
      <c r="E77" s="1251"/>
      <c r="F77" s="1251"/>
      <c r="G77" s="1251"/>
    </row>
    <row r="78" spans="1:8" ht="15.75" x14ac:dyDescent="0.25">
      <c r="B78" s="1251"/>
      <c r="C78" s="1251"/>
      <c r="D78" s="1251"/>
      <c r="E78" s="1251"/>
      <c r="F78" s="1251"/>
      <c r="G78" s="1251"/>
    </row>
    <row r="79" spans="1:8" ht="15.75" x14ac:dyDescent="0.2">
      <c r="B79" s="1643" t="s">
        <v>277</v>
      </c>
      <c r="C79" s="1643"/>
      <c r="D79" s="1643"/>
      <c r="E79" s="1643"/>
      <c r="F79" s="1252"/>
      <c r="G79" s="1252"/>
    </row>
    <row r="80" spans="1:8" ht="15.75" x14ac:dyDescent="0.2">
      <c r="B80" s="1252"/>
      <c r="C80" s="449"/>
      <c r="D80" s="449"/>
    </row>
    <row r="81" spans="2:7" ht="15.75" x14ac:dyDescent="0.2">
      <c r="B81" s="1643" t="s">
        <v>640</v>
      </c>
      <c r="C81" s="1643"/>
      <c r="D81" s="1643"/>
      <c r="E81" s="1643"/>
      <c r="F81" s="1252"/>
      <c r="G81" s="1252"/>
    </row>
    <row r="82" spans="2:7" ht="15.75" x14ac:dyDescent="0.2">
      <c r="B82" s="1252"/>
      <c r="C82" s="1252"/>
      <c r="D82" s="1252"/>
      <c r="E82" s="1252"/>
      <c r="F82" s="1252"/>
      <c r="G82" s="1252"/>
    </row>
    <row r="83" spans="2:7" ht="16.5" thickBot="1" x14ac:dyDescent="0.3">
      <c r="B83" s="450"/>
      <c r="C83" s="450"/>
      <c r="D83" s="450"/>
    </row>
    <row r="84" spans="2:7" ht="39" thickBot="1" x14ac:dyDescent="0.25">
      <c r="B84" s="451" t="s">
        <v>180</v>
      </c>
      <c r="C84" s="452" t="s">
        <v>237</v>
      </c>
      <c r="D84" s="453" t="s">
        <v>237</v>
      </c>
      <c r="E84" s="1070" t="s">
        <v>641</v>
      </c>
      <c r="F84" s="1070" t="s">
        <v>642</v>
      </c>
      <c r="G84" s="350"/>
    </row>
    <row r="85" spans="2:7" ht="13.5" thickBot="1" x14ac:dyDescent="0.25">
      <c r="B85" s="454">
        <v>1</v>
      </c>
      <c r="C85" s="455" t="s">
        <v>308</v>
      </c>
      <c r="D85" s="455">
        <v>2</v>
      </c>
      <c r="E85" s="1071">
        <v>3</v>
      </c>
      <c r="F85" s="1071">
        <v>4</v>
      </c>
      <c r="G85" s="350"/>
    </row>
    <row r="86" spans="2:7" ht="13.5" thickBot="1" x14ac:dyDescent="0.25">
      <c r="B86" s="909" t="s">
        <v>455</v>
      </c>
      <c r="C86" s="910" t="s">
        <v>0</v>
      </c>
      <c r="D86" s="911">
        <v>1</v>
      </c>
      <c r="E86" s="1072">
        <f>E88+E89+E87</f>
        <v>272375170</v>
      </c>
      <c r="F86" s="1072">
        <f>F88+F89+F87</f>
        <v>298580549</v>
      </c>
      <c r="G86" s="350"/>
    </row>
    <row r="87" spans="2:7" x14ac:dyDescent="0.2">
      <c r="B87" s="721" t="s">
        <v>457</v>
      </c>
      <c r="C87" s="722"/>
      <c r="D87" s="723">
        <v>2</v>
      </c>
      <c r="E87" s="1073">
        <v>32475895</v>
      </c>
      <c r="F87" s="1073">
        <v>30517670</v>
      </c>
      <c r="G87" s="350"/>
    </row>
    <row r="88" spans="2:7" x14ac:dyDescent="0.2">
      <c r="B88" s="463" t="s">
        <v>456</v>
      </c>
      <c r="C88" s="457"/>
      <c r="D88" s="465">
        <v>3</v>
      </c>
      <c r="E88" s="1074">
        <v>990800</v>
      </c>
      <c r="F88" s="1074">
        <v>2269753</v>
      </c>
      <c r="G88" s="350"/>
    </row>
    <row r="89" spans="2:7" x14ac:dyDescent="0.2">
      <c r="B89" s="463" t="s">
        <v>461</v>
      </c>
      <c r="C89" s="457"/>
      <c r="D89" s="465">
        <v>4</v>
      </c>
      <c r="E89" s="1074">
        <v>238908475</v>
      </c>
      <c r="F89" s="1074">
        <v>265793126</v>
      </c>
      <c r="G89" s="350"/>
    </row>
    <row r="90" spans="2:7" x14ac:dyDescent="0.2">
      <c r="B90" s="724" t="s">
        <v>310</v>
      </c>
      <c r="C90" s="725" t="s">
        <v>4</v>
      </c>
      <c r="D90" s="726">
        <v>5</v>
      </c>
      <c r="E90" s="1109">
        <v>0</v>
      </c>
      <c r="F90" s="1109">
        <v>0</v>
      </c>
      <c r="G90" s="350"/>
    </row>
    <row r="91" spans="2:7" x14ac:dyDescent="0.2">
      <c r="B91" s="724" t="s">
        <v>311</v>
      </c>
      <c r="C91" s="725" t="s">
        <v>8</v>
      </c>
      <c r="D91" s="726">
        <v>6</v>
      </c>
      <c r="E91" s="1075">
        <v>57415370</v>
      </c>
      <c r="F91" s="1075">
        <v>55916465</v>
      </c>
      <c r="G91" s="350"/>
    </row>
    <row r="92" spans="2:7" ht="13.5" thickBot="1" x14ac:dyDescent="0.25">
      <c r="B92" s="727" t="s">
        <v>312</v>
      </c>
      <c r="C92" s="728" t="s">
        <v>2</v>
      </c>
      <c r="D92" s="726">
        <v>7</v>
      </c>
      <c r="E92" s="1282">
        <v>0</v>
      </c>
      <c r="F92" s="1102">
        <v>0</v>
      </c>
      <c r="G92" s="350"/>
    </row>
    <row r="93" spans="2:7" ht="13.5" thickBot="1" x14ac:dyDescent="0.25">
      <c r="B93" s="461" t="s">
        <v>460</v>
      </c>
      <c r="C93" s="731" t="s">
        <v>5</v>
      </c>
      <c r="D93" s="730">
        <v>8</v>
      </c>
      <c r="E93" s="1283">
        <f>E94+E95+E96+E97</f>
        <v>3499964</v>
      </c>
      <c r="F93" s="1283">
        <f>F94+F95+F96+F97</f>
        <v>3499964</v>
      </c>
      <c r="G93" s="350"/>
    </row>
    <row r="94" spans="2:7" x14ac:dyDescent="0.2">
      <c r="B94" s="463" t="s">
        <v>313</v>
      </c>
      <c r="C94" s="457" t="s">
        <v>9</v>
      </c>
      <c r="D94" s="465">
        <v>9</v>
      </c>
      <c r="E94" s="1284">
        <v>0</v>
      </c>
      <c r="F94" s="1106">
        <v>0</v>
      </c>
      <c r="G94" s="350"/>
    </row>
    <row r="95" spans="2:7" x14ac:dyDescent="0.2">
      <c r="B95" s="456" t="s">
        <v>314</v>
      </c>
      <c r="C95" s="458" t="s">
        <v>3</v>
      </c>
      <c r="D95" s="466">
        <v>10</v>
      </c>
      <c r="E95" s="1285">
        <v>0</v>
      </c>
      <c r="F95" s="1107">
        <v>0</v>
      </c>
      <c r="G95" s="350"/>
    </row>
    <row r="96" spans="2:7" x14ac:dyDescent="0.2">
      <c r="B96" s="456" t="s">
        <v>315</v>
      </c>
      <c r="C96" s="458" t="s">
        <v>10</v>
      </c>
      <c r="D96" s="466">
        <v>11</v>
      </c>
      <c r="E96" s="1286">
        <v>3499964</v>
      </c>
      <c r="F96" s="1075">
        <v>3499964</v>
      </c>
      <c r="G96" s="350"/>
    </row>
    <row r="97" spans="2:7" ht="13.5" thickBot="1" x14ac:dyDescent="0.25">
      <c r="B97" s="459" t="s">
        <v>316</v>
      </c>
      <c r="C97" s="460" t="s">
        <v>6</v>
      </c>
      <c r="D97" s="467">
        <v>12</v>
      </c>
      <c r="E97" s="1287">
        <v>0</v>
      </c>
      <c r="F97" s="1108">
        <v>0</v>
      </c>
      <c r="G97" s="350"/>
    </row>
    <row r="98" spans="2:7" ht="13.5" thickBot="1" x14ac:dyDescent="0.25">
      <c r="B98" s="461" t="s">
        <v>459</v>
      </c>
      <c r="C98" s="731" t="s">
        <v>1</v>
      </c>
      <c r="D98" s="730">
        <v>13</v>
      </c>
      <c r="E98" s="1288">
        <v>0</v>
      </c>
      <c r="F98" s="1101">
        <v>0</v>
      </c>
      <c r="G98" s="350"/>
    </row>
    <row r="99" spans="2:7" x14ac:dyDescent="0.2">
      <c r="B99" s="463" t="s">
        <v>317</v>
      </c>
      <c r="C99" s="457" t="s">
        <v>7</v>
      </c>
      <c r="D99" s="465">
        <v>14</v>
      </c>
      <c r="E99" s="1284">
        <v>0</v>
      </c>
      <c r="F99" s="1106">
        <v>0</v>
      </c>
      <c r="G99" s="350"/>
    </row>
    <row r="100" spans="2:7" x14ac:dyDescent="0.2">
      <c r="B100" s="456" t="s">
        <v>318</v>
      </c>
      <c r="C100" s="458" t="s">
        <v>15</v>
      </c>
      <c r="D100" s="466">
        <v>15</v>
      </c>
      <c r="E100" s="1285">
        <v>0</v>
      </c>
      <c r="F100" s="1107">
        <v>0</v>
      </c>
      <c r="G100" s="350"/>
    </row>
    <row r="101" spans="2:7" ht="13.5" thickBot="1" x14ac:dyDescent="0.25">
      <c r="B101" s="459" t="s">
        <v>319</v>
      </c>
      <c r="C101" s="460" t="s">
        <v>13</v>
      </c>
      <c r="D101" s="467">
        <v>16</v>
      </c>
      <c r="E101" s="1287">
        <v>0</v>
      </c>
      <c r="F101" s="1108">
        <v>0</v>
      </c>
      <c r="G101" s="350"/>
    </row>
    <row r="102" spans="2:7" ht="13.5" thickBot="1" x14ac:dyDescent="0.25">
      <c r="B102" s="461" t="s">
        <v>458</v>
      </c>
      <c r="C102" s="462" t="s">
        <v>25</v>
      </c>
      <c r="D102" s="730">
        <v>17</v>
      </c>
      <c r="E102" s="1288">
        <v>0</v>
      </c>
      <c r="F102" s="1101">
        <v>0</v>
      </c>
      <c r="G102" s="350"/>
    </row>
    <row r="103" spans="2:7" x14ac:dyDescent="0.2">
      <c r="B103" s="463" t="s">
        <v>320</v>
      </c>
      <c r="C103" s="457" t="s">
        <v>28</v>
      </c>
      <c r="D103" s="465">
        <v>18</v>
      </c>
      <c r="E103" s="1284">
        <v>0</v>
      </c>
      <c r="F103" s="1106">
        <v>0</v>
      </c>
      <c r="G103" s="350"/>
    </row>
    <row r="104" spans="2:7" x14ac:dyDescent="0.2">
      <c r="B104" s="456" t="s">
        <v>321</v>
      </c>
      <c r="C104" s="458" t="s">
        <v>26</v>
      </c>
      <c r="D104" s="466">
        <v>19</v>
      </c>
      <c r="E104" s="1285">
        <v>0</v>
      </c>
      <c r="F104" s="1107">
        <v>0</v>
      </c>
      <c r="G104" s="350"/>
    </row>
    <row r="105" spans="2:7" x14ac:dyDescent="0.2">
      <c r="B105" s="456" t="s">
        <v>322</v>
      </c>
      <c r="C105" s="458" t="s">
        <v>27</v>
      </c>
      <c r="D105" s="466">
        <v>20</v>
      </c>
      <c r="E105" s="1285">
        <v>0</v>
      </c>
      <c r="F105" s="1107">
        <v>0</v>
      </c>
      <c r="G105" s="350"/>
    </row>
    <row r="106" spans="2:7" x14ac:dyDescent="0.2">
      <c r="B106" s="456" t="s">
        <v>323</v>
      </c>
      <c r="C106" s="458" t="s">
        <v>29</v>
      </c>
      <c r="D106" s="466">
        <v>21</v>
      </c>
      <c r="E106" s="1285">
        <v>0</v>
      </c>
      <c r="F106" s="1107">
        <v>0</v>
      </c>
      <c r="G106" s="350"/>
    </row>
    <row r="107" spans="2:7" x14ac:dyDescent="0.2">
      <c r="B107" s="456"/>
      <c r="C107" s="458" t="s">
        <v>30</v>
      </c>
      <c r="D107" s="466"/>
      <c r="E107" s="1075"/>
      <c r="F107" s="1075"/>
      <c r="G107" s="350"/>
    </row>
    <row r="108" spans="2:7" x14ac:dyDescent="0.2">
      <c r="B108" s="456"/>
      <c r="C108" s="458" t="s">
        <v>31</v>
      </c>
      <c r="D108" s="466"/>
      <c r="E108" s="1075"/>
      <c r="F108" s="1075"/>
      <c r="G108" s="350"/>
    </row>
    <row r="109" spans="2:7" x14ac:dyDescent="0.2">
      <c r="B109" s="456"/>
      <c r="C109" s="458" t="s">
        <v>12</v>
      </c>
      <c r="D109" s="466"/>
      <c r="E109" s="1075"/>
      <c r="F109" s="1075"/>
      <c r="G109" s="350"/>
    </row>
    <row r="110" spans="2:7" x14ac:dyDescent="0.2">
      <c r="B110" s="456"/>
      <c r="C110" s="458" t="s">
        <v>32</v>
      </c>
      <c r="D110" s="466"/>
      <c r="E110" s="1075"/>
      <c r="F110" s="1075"/>
      <c r="G110" s="350"/>
    </row>
    <row r="111" spans="2:7" x14ac:dyDescent="0.2">
      <c r="B111" s="456"/>
      <c r="C111" s="458" t="s">
        <v>33</v>
      </c>
      <c r="D111" s="466"/>
      <c r="E111" s="1075"/>
      <c r="F111" s="1075"/>
      <c r="G111" s="350"/>
    </row>
    <row r="112" spans="2:7" x14ac:dyDescent="0.2">
      <c r="B112" s="456"/>
      <c r="C112" s="458" t="s">
        <v>34</v>
      </c>
      <c r="D112" s="466"/>
      <c r="E112" s="1075"/>
      <c r="F112" s="1075"/>
      <c r="G112" s="350"/>
    </row>
    <row r="113" spans="2:7" x14ac:dyDescent="0.2">
      <c r="B113" s="456"/>
      <c r="C113" s="458" t="s">
        <v>37</v>
      </c>
      <c r="D113" s="466"/>
      <c r="E113" s="1075"/>
      <c r="F113" s="1075"/>
      <c r="G113" s="350"/>
    </row>
    <row r="114" spans="2:7" x14ac:dyDescent="0.2">
      <c r="B114" s="456"/>
      <c r="C114" s="458" t="s">
        <v>38</v>
      </c>
      <c r="D114" s="466"/>
      <c r="E114" s="1075"/>
      <c r="F114" s="1075"/>
      <c r="G114" s="350"/>
    </row>
    <row r="115" spans="2:7" x14ac:dyDescent="0.2">
      <c r="B115" s="456"/>
      <c r="C115" s="458" t="s">
        <v>39</v>
      </c>
      <c r="D115" s="466"/>
      <c r="E115" s="1075"/>
      <c r="F115" s="1075"/>
      <c r="G115" s="350"/>
    </row>
    <row r="116" spans="2:7" x14ac:dyDescent="0.2">
      <c r="B116" s="456"/>
      <c r="C116" s="458" t="s">
        <v>159</v>
      </c>
      <c r="D116" s="466"/>
      <c r="E116" s="1075"/>
      <c r="F116" s="1075"/>
      <c r="G116" s="350"/>
    </row>
    <row r="117" spans="2:7" x14ac:dyDescent="0.2">
      <c r="B117" s="456"/>
      <c r="C117" s="458" t="s">
        <v>160</v>
      </c>
      <c r="D117" s="466"/>
      <c r="E117" s="1075"/>
      <c r="F117" s="1075"/>
      <c r="G117" s="350"/>
    </row>
    <row r="118" spans="2:7" x14ac:dyDescent="0.2">
      <c r="B118" s="456"/>
      <c r="C118" s="458" t="s">
        <v>161</v>
      </c>
      <c r="D118" s="466"/>
      <c r="E118" s="1075"/>
      <c r="F118" s="1075"/>
      <c r="G118" s="350"/>
    </row>
    <row r="119" spans="2:7" x14ac:dyDescent="0.2">
      <c r="B119" s="456"/>
      <c r="C119" s="458" t="s">
        <v>167</v>
      </c>
      <c r="D119" s="466"/>
      <c r="E119" s="1075"/>
      <c r="F119" s="1075"/>
      <c r="G119" s="350"/>
    </row>
    <row r="120" spans="2:7" x14ac:dyDescent="0.2">
      <c r="B120" s="456"/>
      <c r="C120" s="458" t="s">
        <v>168</v>
      </c>
      <c r="D120" s="466"/>
      <c r="E120" s="1075"/>
      <c r="F120" s="1075"/>
      <c r="G120" s="350"/>
    </row>
    <row r="121" spans="2:7" ht="13.5" thickBot="1" x14ac:dyDescent="0.25">
      <c r="B121" s="468"/>
      <c r="C121" s="469" t="s">
        <v>169</v>
      </c>
      <c r="D121" s="470"/>
      <c r="E121" s="1076"/>
      <c r="F121" s="1076"/>
      <c r="G121" s="350"/>
    </row>
    <row r="122" spans="2:7" ht="13.5" thickBot="1" x14ac:dyDescent="0.25">
      <c r="B122" s="1253" t="s">
        <v>462</v>
      </c>
      <c r="C122" s="1254"/>
      <c r="D122" s="1254"/>
      <c r="E122" s="729">
        <f>E86+E90+E91+E92+E93+E98+E102</f>
        <v>333290504</v>
      </c>
      <c r="F122" s="729">
        <f>F86+F90+F91+F92+F93+F98+F102</f>
        <v>357996978</v>
      </c>
    </row>
    <row r="123" spans="2:7" ht="15.75" x14ac:dyDescent="0.25">
      <c r="B123" s="464" t="s">
        <v>324</v>
      </c>
      <c r="C123" s="450"/>
      <c r="D123" s="450"/>
    </row>
    <row r="125" spans="2:7" x14ac:dyDescent="0.2">
      <c r="B125" s="370"/>
      <c r="C125" s="370"/>
      <c r="D125" s="370"/>
    </row>
    <row r="126" spans="2:7" x14ac:dyDescent="0.2">
      <c r="B126" s="370"/>
      <c r="C126" s="370"/>
      <c r="D126" s="370"/>
    </row>
  </sheetData>
  <mergeCells count="8">
    <mergeCell ref="B79:E79"/>
    <mergeCell ref="B81:E81"/>
    <mergeCell ref="B5:H5"/>
    <mergeCell ref="B7:H7"/>
    <mergeCell ref="B9:H9"/>
    <mergeCell ref="B10:H10"/>
    <mergeCell ref="E13:F13"/>
    <mergeCell ref="G13:H13"/>
  </mergeCells>
  <pageMargins left="0.43307086614173229" right="0.51181102362204722" top="0.82677165354330717" bottom="0.94488188976377963" header="0.51181102362204722" footer="0.51181102362204722"/>
  <pageSetup paperSize="9" scale="59" orientation="portrait" r:id="rId1"/>
  <headerFooter>
    <oddHeader xml:space="preserve">&amp;R10. sz. melléklet
..../2020.(VI.25.) Egyek Önk. r.
</oddHeader>
  </headerFooter>
  <rowBreaks count="2" manualBreakCount="2">
    <brk id="71" max="8" man="1"/>
    <brk id="123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E28" sqref="E28"/>
    </sheetView>
  </sheetViews>
  <sheetFormatPr defaultColWidth="9.140625" defaultRowHeight="12.75" x14ac:dyDescent="0.2"/>
  <cols>
    <col min="1" max="1" width="4.7109375" style="381" customWidth="1"/>
    <col min="2" max="2" width="43.5703125" style="381" customWidth="1"/>
    <col min="3" max="3" width="16.28515625" style="381" customWidth="1"/>
    <col min="4" max="4" width="16.140625" style="381" customWidth="1"/>
    <col min="5" max="5" width="17.5703125" style="381" customWidth="1"/>
    <col min="6" max="6" width="10.42578125" style="381" customWidth="1"/>
    <col min="7" max="7" width="12.7109375" style="381" customWidth="1"/>
    <col min="8" max="8" width="16.28515625" style="381" customWidth="1"/>
    <col min="9" max="9" width="17.85546875" style="381" customWidth="1"/>
    <col min="10" max="13" width="9.140625" style="381"/>
    <col min="14" max="16384" width="9.140625" style="380"/>
  </cols>
  <sheetData>
    <row r="1" spans="1:9" ht="15.75" x14ac:dyDescent="0.25">
      <c r="G1" s="1653"/>
      <c r="H1" s="1653"/>
      <c r="I1" s="1653"/>
    </row>
    <row r="2" spans="1:9" ht="15.75" x14ac:dyDescent="0.25">
      <c r="A2" s="1654" t="s">
        <v>503</v>
      </c>
      <c r="B2" s="1654"/>
      <c r="C2" s="1654"/>
      <c r="D2" s="1654"/>
      <c r="E2" s="1654"/>
      <c r="F2" s="1654"/>
      <c r="G2" s="1654"/>
      <c r="H2" s="1654"/>
      <c r="I2" s="1654"/>
    </row>
    <row r="3" spans="1:9" ht="17.25" customHeight="1" x14ac:dyDescent="0.25">
      <c r="A3" s="1655" t="s">
        <v>661</v>
      </c>
      <c r="B3" s="1655"/>
      <c r="C3" s="1655"/>
      <c r="D3" s="1655"/>
      <c r="E3" s="1655"/>
      <c r="F3" s="1655"/>
      <c r="G3" s="1655"/>
      <c r="H3" s="1655"/>
      <c r="I3" s="1655"/>
    </row>
    <row r="4" spans="1:9" ht="17.25" customHeight="1" x14ac:dyDescent="0.25">
      <c r="A4" s="382"/>
      <c r="B4" s="382"/>
      <c r="C4" s="382"/>
      <c r="D4" s="382"/>
      <c r="E4" s="382"/>
      <c r="F4" s="382"/>
      <c r="G4" s="382"/>
      <c r="H4" s="382"/>
      <c r="I4" s="382"/>
    </row>
    <row r="5" spans="1:9" ht="17.25" customHeight="1" x14ac:dyDescent="0.25">
      <c r="A5" s="382"/>
      <c r="B5" s="1656"/>
      <c r="C5" s="1656"/>
      <c r="D5" s="1656"/>
      <c r="E5" s="1656"/>
      <c r="F5" s="1656"/>
      <c r="G5" s="1656"/>
      <c r="H5" s="1656"/>
      <c r="I5" s="382"/>
    </row>
    <row r="7" spans="1:9" ht="13.5" customHeight="1" thickBot="1" x14ac:dyDescent="0.3">
      <c r="H7" s="1657" t="s">
        <v>524</v>
      </c>
      <c r="I7" s="1657"/>
    </row>
    <row r="8" spans="1:9" ht="15.75" x14ac:dyDescent="0.2">
      <c r="A8" s="1658" t="s">
        <v>237</v>
      </c>
      <c r="B8" s="1660" t="s">
        <v>294</v>
      </c>
      <c r="C8" s="1662" t="s">
        <v>238</v>
      </c>
      <c r="D8" s="1662" t="s">
        <v>239</v>
      </c>
      <c r="E8" s="1662"/>
      <c r="F8" s="1662"/>
      <c r="G8" s="1662"/>
      <c r="H8" s="1662"/>
      <c r="I8" s="1664"/>
    </row>
    <row r="9" spans="1:9" ht="47.25" x14ac:dyDescent="0.2">
      <c r="A9" s="1659"/>
      <c r="B9" s="1661"/>
      <c r="C9" s="1663"/>
      <c r="D9" s="411" t="s">
        <v>240</v>
      </c>
      <c r="E9" s="411" t="s">
        <v>241</v>
      </c>
      <c r="F9" s="411" t="s">
        <v>242</v>
      </c>
      <c r="G9" s="411" t="s">
        <v>243</v>
      </c>
      <c r="H9" s="411" t="s">
        <v>244</v>
      </c>
      <c r="I9" s="412" t="s">
        <v>245</v>
      </c>
    </row>
    <row r="10" spans="1:9" ht="13.5" thickBot="1" x14ac:dyDescent="0.25">
      <c r="A10" s="413" t="s">
        <v>0</v>
      </c>
      <c r="B10" s="414" t="s">
        <v>4</v>
      </c>
      <c r="C10" s="414" t="s">
        <v>8</v>
      </c>
      <c r="D10" s="414" t="s">
        <v>2</v>
      </c>
      <c r="E10" s="414" t="s">
        <v>5</v>
      </c>
      <c r="F10" s="414" t="s">
        <v>9</v>
      </c>
      <c r="G10" s="414" t="s">
        <v>3</v>
      </c>
      <c r="H10" s="414" t="s">
        <v>246</v>
      </c>
      <c r="I10" s="415" t="s">
        <v>247</v>
      </c>
    </row>
    <row r="11" spans="1:9" ht="16.5" thickBot="1" x14ac:dyDescent="0.3">
      <c r="A11" s="1665" t="s">
        <v>295</v>
      </c>
      <c r="B11" s="1665"/>
    </row>
    <row r="12" spans="1:9" ht="15.75" thickBot="1" x14ac:dyDescent="0.3">
      <c r="A12" s="416" t="s">
        <v>0</v>
      </c>
      <c r="B12" s="417" t="s">
        <v>296</v>
      </c>
      <c r="C12" s="383">
        <v>28567241</v>
      </c>
      <c r="D12" s="383"/>
      <c r="E12" s="383"/>
      <c r="F12" s="383"/>
      <c r="G12" s="383"/>
      <c r="H12" s="383"/>
      <c r="I12" s="384">
        <f>SUM(C12+H12)</f>
        <v>28567241</v>
      </c>
    </row>
    <row r="13" spans="1:9" ht="15.75" thickBot="1" x14ac:dyDescent="0.3">
      <c r="A13" s="418" t="s">
        <v>4</v>
      </c>
      <c r="B13" s="419" t="s">
        <v>297</v>
      </c>
      <c r="C13" s="385">
        <v>10353836</v>
      </c>
      <c r="D13" s="385"/>
      <c r="E13" s="385"/>
      <c r="F13" s="385"/>
      <c r="G13" s="385"/>
      <c r="H13" s="385"/>
      <c r="I13" s="384">
        <f t="shared" ref="I13:I18" si="0">SUM(C13+H13)</f>
        <v>10353836</v>
      </c>
    </row>
    <row r="14" spans="1:9" ht="15.75" thickBot="1" x14ac:dyDescent="0.3">
      <c r="A14" s="418" t="s">
        <v>8</v>
      </c>
      <c r="B14" s="419" t="s">
        <v>298</v>
      </c>
      <c r="C14" s="385"/>
      <c r="D14" s="385"/>
      <c r="E14" s="385"/>
      <c r="F14" s="385"/>
      <c r="G14" s="385"/>
      <c r="H14" s="385"/>
      <c r="I14" s="384">
        <f t="shared" si="0"/>
        <v>0</v>
      </c>
    </row>
    <row r="15" spans="1:9" ht="15.75" thickBot="1" x14ac:dyDescent="0.3">
      <c r="A15" s="418" t="s">
        <v>2</v>
      </c>
      <c r="B15" s="419" t="s">
        <v>299</v>
      </c>
      <c r="C15" s="385"/>
      <c r="D15" s="385"/>
      <c r="E15" s="385"/>
      <c r="F15" s="385"/>
      <c r="G15" s="385"/>
      <c r="H15" s="385"/>
      <c r="I15" s="384">
        <f t="shared" si="0"/>
        <v>0</v>
      </c>
    </row>
    <row r="16" spans="1:9" ht="15.75" thickBot="1" x14ac:dyDescent="0.3">
      <c r="A16" s="418" t="s">
        <v>5</v>
      </c>
      <c r="B16" s="419" t="s">
        <v>300</v>
      </c>
      <c r="C16" s="420"/>
      <c r="D16" s="420"/>
      <c r="E16" s="420"/>
      <c r="F16" s="420"/>
      <c r="G16" s="420"/>
      <c r="H16" s="420"/>
      <c r="I16" s="384">
        <f t="shared" si="0"/>
        <v>0</v>
      </c>
    </row>
    <row r="17" spans="1:9" ht="15.75" thickBot="1" x14ac:dyDescent="0.3">
      <c r="A17" s="418" t="s">
        <v>9</v>
      </c>
      <c r="B17" s="419" t="s">
        <v>301</v>
      </c>
      <c r="C17" s="387">
        <v>50872747</v>
      </c>
      <c r="D17" s="387">
        <f>5266824+25922651</f>
        <v>31189475</v>
      </c>
      <c r="E17" s="387">
        <f>10924+15909651</f>
        <v>15920575</v>
      </c>
      <c r="F17" s="387"/>
      <c r="G17" s="387"/>
      <c r="H17" s="387">
        <f>SUM(D17:G17)</f>
        <v>47110050</v>
      </c>
      <c r="I17" s="384">
        <f t="shared" si="0"/>
        <v>97982797</v>
      </c>
    </row>
    <row r="18" spans="1:9" ht="15.75" thickBot="1" x14ac:dyDescent="0.3">
      <c r="A18" s="422" t="s">
        <v>3</v>
      </c>
      <c r="B18" s="423" t="s">
        <v>302</v>
      </c>
      <c r="C18" s="424"/>
      <c r="D18" s="424">
        <f>27100+34176</f>
        <v>61276</v>
      </c>
      <c r="E18" s="424"/>
      <c r="F18" s="424"/>
      <c r="G18" s="424"/>
      <c r="H18" s="387">
        <f>SUM(D18:G18)</f>
        <v>61276</v>
      </c>
      <c r="I18" s="384">
        <f t="shared" si="0"/>
        <v>61276</v>
      </c>
    </row>
    <row r="19" spans="1:9" ht="15" thickBot="1" x14ac:dyDescent="0.25">
      <c r="A19" s="1666" t="s">
        <v>303</v>
      </c>
      <c r="B19" s="1667"/>
      <c r="C19" s="425">
        <f t="shared" ref="C19:I19" si="1">C12+C13+C14+C16+C15+C17+C18</f>
        <v>89793824</v>
      </c>
      <c r="D19" s="425">
        <f t="shared" si="1"/>
        <v>31250751</v>
      </c>
      <c r="E19" s="425">
        <f t="shared" si="1"/>
        <v>15920575</v>
      </c>
      <c r="F19" s="425">
        <f t="shared" si="1"/>
        <v>0</v>
      </c>
      <c r="G19" s="425">
        <f t="shared" si="1"/>
        <v>0</v>
      </c>
      <c r="H19" s="425">
        <f t="shared" si="1"/>
        <v>47171326</v>
      </c>
      <c r="I19" s="426">
        <f t="shared" si="1"/>
        <v>136965150</v>
      </c>
    </row>
    <row r="20" spans="1:9" ht="16.5" thickBot="1" x14ac:dyDescent="0.3">
      <c r="A20" s="1648" t="s">
        <v>304</v>
      </c>
      <c r="B20" s="1648"/>
    </row>
    <row r="21" spans="1:9" ht="15" x14ac:dyDescent="0.25">
      <c r="A21" s="427" t="s">
        <v>0</v>
      </c>
      <c r="B21" s="428" t="s">
        <v>305</v>
      </c>
      <c r="C21" s="417"/>
      <c r="D21" s="417"/>
      <c r="E21" s="417"/>
      <c r="F21" s="417"/>
      <c r="G21" s="417"/>
      <c r="H21" s="417"/>
      <c r="I21" s="429"/>
    </row>
    <row r="22" spans="1:9" ht="15.75" thickBot="1" x14ac:dyDescent="0.3">
      <c r="A22" s="430" t="s">
        <v>4</v>
      </c>
      <c r="B22" s="431" t="s">
        <v>302</v>
      </c>
      <c r="C22" s="423"/>
      <c r="D22" s="423"/>
      <c r="E22" s="423"/>
      <c r="F22" s="423"/>
      <c r="G22" s="423"/>
      <c r="H22" s="423"/>
      <c r="I22" s="432"/>
    </row>
    <row r="23" spans="1:9" ht="15" thickBot="1" x14ac:dyDescent="0.25">
      <c r="A23" s="1649" t="s">
        <v>306</v>
      </c>
      <c r="B23" s="1650"/>
      <c r="C23" s="433"/>
      <c r="D23" s="433"/>
      <c r="E23" s="433"/>
      <c r="F23" s="433"/>
      <c r="G23" s="433"/>
      <c r="H23" s="433"/>
      <c r="I23" s="434"/>
    </row>
    <row r="24" spans="1:9" ht="15.75" thickBot="1" x14ac:dyDescent="0.3">
      <c r="A24" s="1651" t="s">
        <v>307</v>
      </c>
      <c r="B24" s="1652"/>
      <c r="C24" s="435">
        <f>C23+C19</f>
        <v>89793824</v>
      </c>
      <c r="D24" s="435">
        <f t="shared" ref="D24:I24" si="2">D23+D19</f>
        <v>31250751</v>
      </c>
      <c r="E24" s="435">
        <f t="shared" si="2"/>
        <v>15920575</v>
      </c>
      <c r="F24" s="435">
        <f t="shared" si="2"/>
        <v>0</v>
      </c>
      <c r="G24" s="435">
        <f t="shared" si="2"/>
        <v>0</v>
      </c>
      <c r="H24" s="435">
        <f t="shared" si="2"/>
        <v>47171326</v>
      </c>
      <c r="I24" s="435">
        <f t="shared" si="2"/>
        <v>136965150</v>
      </c>
    </row>
  </sheetData>
  <mergeCells count="14">
    <mergeCell ref="A20:B20"/>
    <mergeCell ref="A23:B23"/>
    <mergeCell ref="A24:B24"/>
    <mergeCell ref="G1:I1"/>
    <mergeCell ref="A2:I2"/>
    <mergeCell ref="A3:I3"/>
    <mergeCell ref="B5:H5"/>
    <mergeCell ref="H7:I7"/>
    <mergeCell ref="A8:A9"/>
    <mergeCell ref="B8:B9"/>
    <mergeCell ref="C8:C9"/>
    <mergeCell ref="D8:I8"/>
    <mergeCell ref="A11:B11"/>
    <mergeCell ref="A19:B19"/>
  </mergeCells>
  <pageMargins left="0.75" right="0.75" top="1" bottom="1" header="0.5" footer="0.5"/>
  <pageSetup paperSize="9" scale="80" orientation="landscape" r:id="rId1"/>
  <headerFooter alignWithMargins="0">
    <oddHeader xml:space="preserve">&amp;R11.1 sz. melléklet
.../2020.(VI.25.) Egyek Önk. r.
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A4" sqref="A4:I4"/>
    </sheetView>
  </sheetViews>
  <sheetFormatPr defaultColWidth="9.140625" defaultRowHeight="12.75" x14ac:dyDescent="0.2"/>
  <cols>
    <col min="1" max="1" width="4.7109375" style="381" customWidth="1"/>
    <col min="2" max="2" width="43.5703125" style="381" customWidth="1"/>
    <col min="3" max="3" width="14" style="381" customWidth="1"/>
    <col min="4" max="4" width="11.7109375" style="381" customWidth="1"/>
    <col min="5" max="5" width="12.140625" style="381" customWidth="1"/>
    <col min="6" max="6" width="9.7109375" style="381" bestFit="1" customWidth="1"/>
    <col min="7" max="7" width="11.28515625" style="381" customWidth="1"/>
    <col min="8" max="8" width="11.7109375" style="381" customWidth="1"/>
    <col min="9" max="9" width="15.5703125" style="381" customWidth="1"/>
    <col min="10" max="13" width="9.140625" style="381"/>
    <col min="14" max="16384" width="9.140625" style="380"/>
  </cols>
  <sheetData>
    <row r="1" spans="1:9" ht="15.75" x14ac:dyDescent="0.25">
      <c r="G1" s="1653"/>
      <c r="H1" s="1653"/>
      <c r="I1" s="1653"/>
    </row>
    <row r="2" spans="1:9" ht="15.75" x14ac:dyDescent="0.25">
      <c r="A2" s="1654" t="s">
        <v>504</v>
      </c>
      <c r="B2" s="1654"/>
      <c r="C2" s="1654"/>
      <c r="D2" s="1654"/>
      <c r="E2" s="1654"/>
      <c r="F2" s="1654"/>
      <c r="G2" s="1654"/>
      <c r="H2" s="1654"/>
      <c r="I2" s="1654"/>
    </row>
    <row r="3" spans="1:9" ht="15.75" x14ac:dyDescent="0.25">
      <c r="A3" s="389"/>
      <c r="B3" s="389"/>
      <c r="C3" s="389"/>
      <c r="D3" s="389"/>
      <c r="E3" s="389"/>
      <c r="F3" s="389"/>
      <c r="G3" s="389"/>
      <c r="H3" s="389"/>
      <c r="I3" s="389"/>
    </row>
    <row r="4" spans="1:9" ht="27.6" customHeight="1" x14ac:dyDescent="0.2">
      <c r="A4" s="1668" t="s">
        <v>660</v>
      </c>
      <c r="B4" s="1668"/>
      <c r="C4" s="1668"/>
      <c r="D4" s="1668"/>
      <c r="E4" s="1668"/>
      <c r="F4" s="1668"/>
      <c r="G4" s="1668"/>
      <c r="H4" s="1668"/>
      <c r="I4" s="1668"/>
    </row>
    <row r="5" spans="1:9" ht="17.25" customHeight="1" x14ac:dyDescent="0.25">
      <c r="A5" s="382"/>
      <c r="B5" s="382"/>
      <c r="C5" s="382"/>
      <c r="D5" s="382"/>
      <c r="E5" s="382"/>
      <c r="F5" s="382"/>
      <c r="G5" s="382"/>
      <c r="H5" s="382"/>
      <c r="I5" s="382"/>
    </row>
    <row r="6" spans="1:9" ht="17.25" customHeight="1" x14ac:dyDescent="0.25">
      <c r="A6" s="382"/>
      <c r="B6" s="1656"/>
      <c r="C6" s="1656"/>
      <c r="D6" s="1656"/>
      <c r="E6" s="1656"/>
      <c r="F6" s="1656"/>
      <c r="G6" s="1656"/>
      <c r="H6" s="1656"/>
      <c r="I6" s="382"/>
    </row>
    <row r="8" spans="1:9" ht="13.5" customHeight="1" thickBot="1" x14ac:dyDescent="0.3">
      <c r="H8" s="1657" t="s">
        <v>524</v>
      </c>
      <c r="I8" s="1657"/>
    </row>
    <row r="9" spans="1:9" ht="15.75" x14ac:dyDescent="0.2">
      <c r="A9" s="1658" t="s">
        <v>237</v>
      </c>
      <c r="B9" s="1660" t="s">
        <v>294</v>
      </c>
      <c r="C9" s="1662" t="s">
        <v>238</v>
      </c>
      <c r="D9" s="1662" t="s">
        <v>239</v>
      </c>
      <c r="E9" s="1662"/>
      <c r="F9" s="1662"/>
      <c r="G9" s="1662"/>
      <c r="H9" s="1662"/>
      <c r="I9" s="1664"/>
    </row>
    <row r="10" spans="1:9" ht="47.25" x14ac:dyDescent="0.2">
      <c r="A10" s="1659"/>
      <c r="B10" s="1661"/>
      <c r="C10" s="1663"/>
      <c r="D10" s="411" t="s">
        <v>240</v>
      </c>
      <c r="E10" s="411" t="s">
        <v>241</v>
      </c>
      <c r="F10" s="411" t="s">
        <v>242</v>
      </c>
      <c r="G10" s="411" t="s">
        <v>243</v>
      </c>
      <c r="H10" s="411" t="s">
        <v>244</v>
      </c>
      <c r="I10" s="412" t="s">
        <v>245</v>
      </c>
    </row>
    <row r="11" spans="1:9" ht="13.5" thickBot="1" x14ac:dyDescent="0.25">
      <c r="A11" s="413" t="s">
        <v>0</v>
      </c>
      <c r="B11" s="414" t="s">
        <v>4</v>
      </c>
      <c r="C11" s="414" t="s">
        <v>8</v>
      </c>
      <c r="D11" s="414" t="s">
        <v>2</v>
      </c>
      <c r="E11" s="414" t="s">
        <v>5</v>
      </c>
      <c r="F11" s="414" t="s">
        <v>9</v>
      </c>
      <c r="G11" s="414" t="s">
        <v>3</v>
      </c>
      <c r="H11" s="414" t="s">
        <v>246</v>
      </c>
      <c r="I11" s="415" t="s">
        <v>247</v>
      </c>
    </row>
    <row r="12" spans="1:9" ht="16.5" thickBot="1" x14ac:dyDescent="0.3">
      <c r="A12" s="1665" t="s">
        <v>295</v>
      </c>
      <c r="B12" s="1665"/>
    </row>
    <row r="13" spans="1:9" ht="15" x14ac:dyDescent="0.25">
      <c r="A13" s="416" t="s">
        <v>0</v>
      </c>
      <c r="B13" s="417" t="s">
        <v>296</v>
      </c>
      <c r="C13" s="383"/>
      <c r="D13" s="383"/>
      <c r="E13" s="383"/>
      <c r="F13" s="383"/>
      <c r="G13" s="383"/>
      <c r="H13" s="383"/>
      <c r="I13" s="384"/>
    </row>
    <row r="14" spans="1:9" ht="15" x14ac:dyDescent="0.25">
      <c r="A14" s="418" t="s">
        <v>4</v>
      </c>
      <c r="B14" s="419" t="s">
        <v>297</v>
      </c>
      <c r="C14" s="385"/>
      <c r="D14" s="385"/>
      <c r="E14" s="385"/>
      <c r="F14" s="385"/>
      <c r="G14" s="385"/>
      <c r="H14" s="385"/>
      <c r="I14" s="386"/>
    </row>
    <row r="15" spans="1:9" ht="15" x14ac:dyDescent="0.25">
      <c r="A15" s="418" t="s">
        <v>8</v>
      </c>
      <c r="B15" s="419" t="s">
        <v>298</v>
      </c>
      <c r="C15" s="385"/>
      <c r="D15" s="385"/>
      <c r="E15" s="385"/>
      <c r="F15" s="385"/>
      <c r="G15" s="385"/>
      <c r="H15" s="385"/>
      <c r="I15" s="386"/>
    </row>
    <row r="16" spans="1:9" ht="15" x14ac:dyDescent="0.25">
      <c r="A16" s="418" t="s">
        <v>2</v>
      </c>
      <c r="B16" s="419" t="s">
        <v>299</v>
      </c>
      <c r="C16" s="385"/>
      <c r="D16" s="385"/>
      <c r="E16" s="385"/>
      <c r="F16" s="385"/>
      <c r="G16" s="385"/>
      <c r="H16" s="385"/>
      <c r="I16" s="386"/>
    </row>
    <row r="17" spans="1:9" ht="15" x14ac:dyDescent="0.25">
      <c r="A17" s="418" t="s">
        <v>5</v>
      </c>
      <c r="B17" s="419" t="s">
        <v>300</v>
      </c>
      <c r="C17" s="420"/>
      <c r="D17" s="420"/>
      <c r="E17" s="420"/>
      <c r="F17" s="420"/>
      <c r="G17" s="420"/>
      <c r="H17" s="420"/>
      <c r="I17" s="421"/>
    </row>
    <row r="18" spans="1:9" ht="15" x14ac:dyDescent="0.25">
      <c r="A18" s="418" t="s">
        <v>9</v>
      </c>
      <c r="B18" s="419" t="s">
        <v>301</v>
      </c>
      <c r="C18" s="387">
        <v>810105</v>
      </c>
      <c r="D18" s="387"/>
      <c r="E18" s="387"/>
      <c r="F18" s="387"/>
      <c r="G18" s="387"/>
      <c r="H18" s="387">
        <f>SUM(D18:G18)</f>
        <v>0</v>
      </c>
      <c r="I18" s="388">
        <f>SUM(C18+H18)</f>
        <v>810105</v>
      </c>
    </row>
    <row r="19" spans="1:9" ht="15.75" thickBot="1" x14ac:dyDescent="0.3">
      <c r="A19" s="422" t="s">
        <v>3</v>
      </c>
      <c r="B19" s="423" t="s">
        <v>302</v>
      </c>
      <c r="C19" s="424"/>
      <c r="D19" s="424"/>
      <c r="E19" s="424"/>
      <c r="F19" s="424"/>
      <c r="G19" s="424"/>
      <c r="H19" s="387">
        <f>G19+F19+E19+D19</f>
        <v>0</v>
      </c>
      <c r="I19" s="388">
        <f>H19+C19</f>
        <v>0</v>
      </c>
    </row>
    <row r="20" spans="1:9" ht="15" thickBot="1" x14ac:dyDescent="0.25">
      <c r="A20" s="1666" t="s">
        <v>303</v>
      </c>
      <c r="B20" s="1667"/>
      <c r="C20" s="425">
        <f t="shared" ref="C20:I20" si="0">C13+C14+C15+C17+C16+C18+C19</f>
        <v>810105</v>
      </c>
      <c r="D20" s="425">
        <f t="shared" si="0"/>
        <v>0</v>
      </c>
      <c r="E20" s="425">
        <f t="shared" si="0"/>
        <v>0</v>
      </c>
      <c r="F20" s="425">
        <f t="shared" si="0"/>
        <v>0</v>
      </c>
      <c r="G20" s="425">
        <f t="shared" si="0"/>
        <v>0</v>
      </c>
      <c r="H20" s="425">
        <f t="shared" si="0"/>
        <v>0</v>
      </c>
      <c r="I20" s="426">
        <f t="shared" si="0"/>
        <v>810105</v>
      </c>
    </row>
    <row r="21" spans="1:9" ht="16.5" thickBot="1" x14ac:dyDescent="0.3">
      <c r="A21" s="1648" t="s">
        <v>304</v>
      </c>
      <c r="B21" s="1648"/>
    </row>
    <row r="22" spans="1:9" ht="15" x14ac:dyDescent="0.25">
      <c r="A22" s="427" t="s">
        <v>0</v>
      </c>
      <c r="B22" s="428" t="s">
        <v>305</v>
      </c>
      <c r="C22" s="417"/>
      <c r="D22" s="417"/>
      <c r="E22" s="417"/>
      <c r="F22" s="417"/>
      <c r="G22" s="417"/>
      <c r="H22" s="417"/>
      <c r="I22" s="429"/>
    </row>
    <row r="23" spans="1:9" ht="15.75" thickBot="1" x14ac:dyDescent="0.3">
      <c r="A23" s="430" t="s">
        <v>4</v>
      </c>
      <c r="B23" s="431" t="s">
        <v>302</v>
      </c>
      <c r="C23" s="423"/>
      <c r="D23" s="423"/>
      <c r="E23" s="423"/>
      <c r="F23" s="423"/>
      <c r="G23" s="423"/>
      <c r="H23" s="423"/>
      <c r="I23" s="432"/>
    </row>
    <row r="24" spans="1:9" ht="15" thickBot="1" x14ac:dyDescent="0.25">
      <c r="A24" s="1649" t="s">
        <v>306</v>
      </c>
      <c r="B24" s="1650"/>
      <c r="C24" s="433"/>
      <c r="D24" s="433"/>
      <c r="E24" s="433"/>
      <c r="F24" s="433"/>
      <c r="G24" s="433"/>
      <c r="H24" s="433"/>
      <c r="I24" s="434"/>
    </row>
    <row r="25" spans="1:9" ht="15.75" thickBot="1" x14ac:dyDescent="0.3">
      <c r="A25" s="1651" t="s">
        <v>307</v>
      </c>
      <c r="B25" s="1652"/>
      <c r="C25" s="435">
        <f>C24+C20</f>
        <v>810105</v>
      </c>
      <c r="D25" s="435">
        <f t="shared" ref="D25:I25" si="1">D24+D20</f>
        <v>0</v>
      </c>
      <c r="E25" s="435">
        <f t="shared" si="1"/>
        <v>0</v>
      </c>
      <c r="F25" s="435">
        <f t="shared" si="1"/>
        <v>0</v>
      </c>
      <c r="G25" s="435">
        <f t="shared" si="1"/>
        <v>0</v>
      </c>
      <c r="H25" s="435">
        <f t="shared" si="1"/>
        <v>0</v>
      </c>
      <c r="I25" s="435">
        <f t="shared" si="1"/>
        <v>810105</v>
      </c>
    </row>
  </sheetData>
  <mergeCells count="14">
    <mergeCell ref="A21:B21"/>
    <mergeCell ref="A24:B24"/>
    <mergeCell ref="A25:B25"/>
    <mergeCell ref="G1:I1"/>
    <mergeCell ref="A2:I2"/>
    <mergeCell ref="A4:I4"/>
    <mergeCell ref="B6:H6"/>
    <mergeCell ref="H8:I8"/>
    <mergeCell ref="A9:A10"/>
    <mergeCell ref="B9:B10"/>
    <mergeCell ref="C9:C10"/>
    <mergeCell ref="D9:I9"/>
    <mergeCell ref="A12:B12"/>
    <mergeCell ref="A20:B20"/>
  </mergeCells>
  <pageMargins left="0.75" right="0.75" top="1" bottom="1" header="0.5" footer="0.5"/>
  <pageSetup paperSize="9" scale="98" orientation="landscape" r:id="rId1"/>
  <headerFooter alignWithMargins="0">
    <oddHeader xml:space="preserve">&amp;R11. 2. sz. melléklet
.../2020.(VI.25.) Egyek Önk. r.
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C13" sqref="C13"/>
    </sheetView>
  </sheetViews>
  <sheetFormatPr defaultColWidth="9.140625" defaultRowHeight="12.75" x14ac:dyDescent="0.2"/>
  <cols>
    <col min="1" max="1" width="4.7109375" style="390" customWidth="1"/>
    <col min="2" max="2" width="43.5703125" style="390" customWidth="1"/>
    <col min="3" max="3" width="14.28515625" style="390" customWidth="1"/>
    <col min="4" max="4" width="13.5703125" style="390" customWidth="1"/>
    <col min="5" max="5" width="12.140625" style="390" customWidth="1"/>
    <col min="6" max="6" width="9.28515625" style="390" bestFit="1" customWidth="1"/>
    <col min="7" max="7" width="11.28515625" style="390" customWidth="1"/>
    <col min="8" max="8" width="13.42578125" style="390" customWidth="1"/>
    <col min="9" max="9" width="14.140625" style="390" customWidth="1"/>
    <col min="10" max="13" width="9.140625" style="390"/>
    <col min="14" max="16384" width="9.140625" style="350"/>
  </cols>
  <sheetData>
    <row r="1" spans="1:9" s="350" customFormat="1" ht="15.75" x14ac:dyDescent="0.25">
      <c r="A1" s="390"/>
      <c r="B1" s="390"/>
      <c r="C1" s="390"/>
      <c r="D1" s="390"/>
      <c r="E1" s="390"/>
      <c r="F1" s="390"/>
      <c r="G1" s="1674"/>
      <c r="H1" s="1674"/>
      <c r="I1" s="1674"/>
    </row>
    <row r="2" spans="1:9" s="350" customFormat="1" ht="15.75" x14ac:dyDescent="0.25">
      <c r="A2" s="1644" t="s">
        <v>505</v>
      </c>
      <c r="B2" s="1644"/>
      <c r="C2" s="1644"/>
      <c r="D2" s="1644"/>
      <c r="E2" s="1644"/>
      <c r="F2" s="1644"/>
      <c r="G2" s="1644"/>
      <c r="H2" s="1644"/>
      <c r="I2" s="1644"/>
    </row>
    <row r="3" spans="1:9" s="350" customFormat="1" ht="17.25" customHeight="1" x14ac:dyDescent="0.25">
      <c r="A3" s="1675" t="s">
        <v>659</v>
      </c>
      <c r="B3" s="1675"/>
      <c r="C3" s="1675"/>
      <c r="D3" s="1675"/>
      <c r="E3" s="1675"/>
      <c r="F3" s="1675"/>
      <c r="G3" s="1675"/>
      <c r="H3" s="1675"/>
      <c r="I3" s="1675"/>
    </row>
    <row r="4" spans="1:9" s="350" customFormat="1" ht="17.25" customHeight="1" x14ac:dyDescent="0.25">
      <c r="A4" s="406"/>
      <c r="B4" s="406"/>
      <c r="C4" s="406"/>
      <c r="D4" s="406"/>
      <c r="E4" s="406"/>
      <c r="F4" s="406"/>
      <c r="G4" s="406"/>
      <c r="H4" s="406"/>
      <c r="I4" s="406"/>
    </row>
    <row r="5" spans="1:9" s="350" customFormat="1" ht="17.25" customHeight="1" x14ac:dyDescent="0.25">
      <c r="A5" s="406"/>
      <c r="B5" s="1675"/>
      <c r="C5" s="1675"/>
      <c r="D5" s="1675"/>
      <c r="E5" s="1675"/>
      <c r="F5" s="1675"/>
      <c r="G5" s="1675"/>
      <c r="H5" s="1675"/>
      <c r="I5" s="406"/>
    </row>
    <row r="6" spans="1:9" s="350" customFormat="1" ht="13.5" x14ac:dyDescent="0.25">
      <c r="A6" s="390"/>
      <c r="B6" s="1676"/>
      <c r="C6" s="1676"/>
      <c r="D6" s="1676"/>
      <c r="E6" s="1676"/>
      <c r="F6" s="1676"/>
      <c r="G6" s="1676"/>
      <c r="H6" s="1676"/>
      <c r="I6" s="390"/>
    </row>
    <row r="7" spans="1:9" s="350" customFormat="1" ht="13.5" customHeight="1" thickBot="1" x14ac:dyDescent="0.3">
      <c r="A7" s="390"/>
      <c r="B7" s="390"/>
      <c r="C7" s="390"/>
      <c r="D7" s="390"/>
      <c r="E7" s="390"/>
      <c r="F7" s="390"/>
      <c r="G7" s="390"/>
      <c r="H7" s="1677" t="s">
        <v>524</v>
      </c>
      <c r="I7" s="1677"/>
    </row>
    <row r="8" spans="1:9" s="350" customFormat="1" ht="15.75" x14ac:dyDescent="0.2">
      <c r="A8" s="1684" t="s">
        <v>237</v>
      </c>
      <c r="B8" s="1686" t="s">
        <v>294</v>
      </c>
      <c r="C8" s="1669" t="s">
        <v>238</v>
      </c>
      <c r="D8" s="1669" t="s">
        <v>239</v>
      </c>
      <c r="E8" s="1669"/>
      <c r="F8" s="1669"/>
      <c r="G8" s="1669"/>
      <c r="H8" s="1669"/>
      <c r="I8" s="1670"/>
    </row>
    <row r="9" spans="1:9" s="350" customFormat="1" ht="47.25" x14ac:dyDescent="0.2">
      <c r="A9" s="1685"/>
      <c r="B9" s="1687"/>
      <c r="C9" s="1678"/>
      <c r="D9" s="436" t="s">
        <v>240</v>
      </c>
      <c r="E9" s="436" t="s">
        <v>241</v>
      </c>
      <c r="F9" s="436" t="s">
        <v>242</v>
      </c>
      <c r="G9" s="436" t="s">
        <v>243</v>
      </c>
      <c r="H9" s="436" t="s">
        <v>244</v>
      </c>
      <c r="I9" s="437" t="s">
        <v>245</v>
      </c>
    </row>
    <row r="10" spans="1:9" s="350" customFormat="1" ht="13.5" thickBot="1" x14ac:dyDescent="0.25">
      <c r="A10" s="391" t="s">
        <v>0</v>
      </c>
      <c r="B10" s="392" t="s">
        <v>4</v>
      </c>
      <c r="C10" s="392" t="s">
        <v>8</v>
      </c>
      <c r="D10" s="392" t="s">
        <v>2</v>
      </c>
      <c r="E10" s="392" t="s">
        <v>5</v>
      </c>
      <c r="F10" s="392" t="s">
        <v>9</v>
      </c>
      <c r="G10" s="392" t="s">
        <v>3</v>
      </c>
      <c r="H10" s="392" t="s">
        <v>246</v>
      </c>
      <c r="I10" s="393" t="s">
        <v>247</v>
      </c>
    </row>
    <row r="11" spans="1:9" s="350" customFormat="1" ht="16.5" thickBot="1" x14ac:dyDescent="0.3">
      <c r="A11" s="1671" t="s">
        <v>295</v>
      </c>
      <c r="B11" s="1671"/>
      <c r="C11" s="390"/>
      <c r="D11" s="390"/>
      <c r="E11" s="390"/>
      <c r="F11" s="390"/>
      <c r="G11" s="390"/>
      <c r="H11" s="390"/>
      <c r="I11" s="390"/>
    </row>
    <row r="12" spans="1:9" s="350" customFormat="1" ht="15.75" thickBot="1" x14ac:dyDescent="0.3">
      <c r="A12" s="394" t="s">
        <v>0</v>
      </c>
      <c r="B12" s="395" t="s">
        <v>296</v>
      </c>
      <c r="C12" s="383">
        <v>83753</v>
      </c>
      <c r="D12" s="383"/>
      <c r="E12" s="383"/>
      <c r="F12" s="383"/>
      <c r="G12" s="383"/>
      <c r="H12" s="383">
        <f>SUM(D12:G12)</f>
        <v>0</v>
      </c>
      <c r="I12" s="384">
        <f>SUM(C12+H12)</f>
        <v>83753</v>
      </c>
    </row>
    <row r="13" spans="1:9" s="350" customFormat="1" ht="15.75" thickBot="1" x14ac:dyDescent="0.3">
      <c r="A13" s="396" t="s">
        <v>4</v>
      </c>
      <c r="B13" s="397" t="s">
        <v>297</v>
      </c>
      <c r="C13" s="385"/>
      <c r="D13" s="385"/>
      <c r="E13" s="385"/>
      <c r="F13" s="385"/>
      <c r="G13" s="385"/>
      <c r="H13" s="383">
        <f t="shared" ref="H13:H18" si="0">SUM(D13:G13)</f>
        <v>0</v>
      </c>
      <c r="I13" s="384">
        <f t="shared" ref="I13:I18" si="1">SUM(C13+H13)</f>
        <v>0</v>
      </c>
    </row>
    <row r="14" spans="1:9" s="350" customFormat="1" ht="15.75" thickBot="1" x14ac:dyDescent="0.3">
      <c r="A14" s="396" t="s">
        <v>8</v>
      </c>
      <c r="B14" s="397" t="s">
        <v>298</v>
      </c>
      <c r="C14" s="385"/>
      <c r="D14" s="385"/>
      <c r="E14" s="385"/>
      <c r="F14" s="385"/>
      <c r="G14" s="385"/>
      <c r="H14" s="383">
        <f t="shared" si="0"/>
        <v>0</v>
      </c>
      <c r="I14" s="384">
        <f t="shared" si="1"/>
        <v>0</v>
      </c>
    </row>
    <row r="15" spans="1:9" s="350" customFormat="1" ht="15.75" thickBot="1" x14ac:dyDescent="0.3">
      <c r="A15" s="396" t="s">
        <v>2</v>
      </c>
      <c r="B15" s="397" t="s">
        <v>299</v>
      </c>
      <c r="C15" s="385"/>
      <c r="D15" s="385"/>
      <c r="E15" s="385"/>
      <c r="F15" s="385"/>
      <c r="G15" s="385"/>
      <c r="H15" s="383">
        <f t="shared" si="0"/>
        <v>0</v>
      </c>
      <c r="I15" s="384">
        <f t="shared" si="1"/>
        <v>0</v>
      </c>
    </row>
    <row r="16" spans="1:9" s="350" customFormat="1" ht="15.75" thickBot="1" x14ac:dyDescent="0.3">
      <c r="A16" s="396" t="s">
        <v>5</v>
      </c>
      <c r="B16" s="397" t="s">
        <v>300</v>
      </c>
      <c r="C16" s="398"/>
      <c r="D16" s="398"/>
      <c r="E16" s="398"/>
      <c r="F16" s="398"/>
      <c r="G16" s="398"/>
      <c r="H16" s="383">
        <f t="shared" si="0"/>
        <v>0</v>
      </c>
      <c r="I16" s="384">
        <f t="shared" si="1"/>
        <v>0</v>
      </c>
    </row>
    <row r="17" spans="1:9" s="350" customFormat="1" ht="15.75" thickBot="1" x14ac:dyDescent="0.3">
      <c r="A17" s="396" t="s">
        <v>9</v>
      </c>
      <c r="B17" s="397" t="s">
        <v>301</v>
      </c>
      <c r="C17" s="387">
        <v>162231</v>
      </c>
      <c r="D17" s="387">
        <v>91356</v>
      </c>
      <c r="E17" s="387"/>
      <c r="F17" s="387"/>
      <c r="G17" s="387"/>
      <c r="H17" s="383">
        <f t="shared" si="0"/>
        <v>91356</v>
      </c>
      <c r="I17" s="384">
        <f t="shared" si="1"/>
        <v>253587</v>
      </c>
    </row>
    <row r="18" spans="1:9" s="350" customFormat="1" ht="15.75" thickBot="1" x14ac:dyDescent="0.3">
      <c r="A18" s="438" t="s">
        <v>3</v>
      </c>
      <c r="B18" s="439" t="s">
        <v>302</v>
      </c>
      <c r="C18" s="424"/>
      <c r="D18" s="424"/>
      <c r="E18" s="424"/>
      <c r="F18" s="424"/>
      <c r="G18" s="424"/>
      <c r="H18" s="383">
        <f t="shared" si="0"/>
        <v>0</v>
      </c>
      <c r="I18" s="384">
        <f t="shared" si="1"/>
        <v>0</v>
      </c>
    </row>
    <row r="19" spans="1:9" s="350" customFormat="1" ht="15" thickBot="1" x14ac:dyDescent="0.25">
      <c r="A19" s="1672" t="s">
        <v>303</v>
      </c>
      <c r="B19" s="1673"/>
      <c r="C19" s="425">
        <f>SUM(C12:C18)</f>
        <v>245984</v>
      </c>
      <c r="D19" s="425">
        <f>SUM(D12:D18)</f>
        <v>91356</v>
      </c>
      <c r="E19" s="425">
        <f>E12+E13+E14+E16+E15+E17+E18</f>
        <v>0</v>
      </c>
      <c r="F19" s="425">
        <f>F12+F13+F14+F16+F15+F17+F18</f>
        <v>0</v>
      </c>
      <c r="G19" s="425">
        <f>G12+G13+G14+G16+G15+G17+G18</f>
        <v>0</v>
      </c>
      <c r="H19" s="425">
        <f>SUM(H12:H18)</f>
        <v>91356</v>
      </c>
      <c r="I19" s="426">
        <f>I12+I13+I14+I16+I15+I17+I18</f>
        <v>337340</v>
      </c>
    </row>
    <row r="20" spans="1:9" s="350" customFormat="1" ht="16.5" thickBot="1" x14ac:dyDescent="0.3">
      <c r="A20" s="1679" t="s">
        <v>304</v>
      </c>
      <c r="B20" s="1679"/>
      <c r="C20" s="390"/>
      <c r="D20" s="390"/>
      <c r="E20" s="390"/>
      <c r="F20" s="390"/>
      <c r="G20" s="390"/>
      <c r="H20" s="390"/>
      <c r="I20" s="390"/>
    </row>
    <row r="21" spans="1:9" s="350" customFormat="1" ht="15" x14ac:dyDescent="0.25">
      <c r="A21" s="440" t="s">
        <v>0</v>
      </c>
      <c r="B21" s="441" t="s">
        <v>305</v>
      </c>
      <c r="C21" s="395"/>
      <c r="D21" s="395"/>
      <c r="E21" s="395"/>
      <c r="F21" s="395"/>
      <c r="G21" s="395"/>
      <c r="H21" s="395"/>
      <c r="I21" s="442"/>
    </row>
    <row r="22" spans="1:9" s="350" customFormat="1" ht="15.75" thickBot="1" x14ac:dyDescent="0.3">
      <c r="A22" s="443" t="s">
        <v>4</v>
      </c>
      <c r="B22" s="444" t="s">
        <v>302</v>
      </c>
      <c r="C22" s="439"/>
      <c r="D22" s="439"/>
      <c r="E22" s="439"/>
      <c r="F22" s="439"/>
      <c r="G22" s="439"/>
      <c r="H22" s="439"/>
      <c r="I22" s="445"/>
    </row>
    <row r="23" spans="1:9" s="350" customFormat="1" ht="15" thickBot="1" x14ac:dyDescent="0.25">
      <c r="A23" s="1680" t="s">
        <v>306</v>
      </c>
      <c r="B23" s="1681"/>
      <c r="C23" s="446"/>
      <c r="D23" s="446"/>
      <c r="E23" s="446"/>
      <c r="F23" s="446"/>
      <c r="G23" s="446"/>
      <c r="H23" s="446"/>
      <c r="I23" s="447"/>
    </row>
    <row r="24" spans="1:9" s="350" customFormat="1" ht="15.75" thickBot="1" x14ac:dyDescent="0.3">
      <c r="A24" s="1682" t="s">
        <v>307</v>
      </c>
      <c r="B24" s="1683"/>
      <c r="C24" s="399">
        <f t="shared" ref="C24:I24" si="2">C23+C19</f>
        <v>245984</v>
      </c>
      <c r="D24" s="399">
        <f t="shared" si="2"/>
        <v>91356</v>
      </c>
      <c r="E24" s="399">
        <f t="shared" si="2"/>
        <v>0</v>
      </c>
      <c r="F24" s="399">
        <f t="shared" si="2"/>
        <v>0</v>
      </c>
      <c r="G24" s="399">
        <f t="shared" si="2"/>
        <v>0</v>
      </c>
      <c r="H24" s="399">
        <f t="shared" si="2"/>
        <v>91356</v>
      </c>
      <c r="I24" s="399">
        <f t="shared" si="2"/>
        <v>337340</v>
      </c>
    </row>
  </sheetData>
  <mergeCells count="15">
    <mergeCell ref="A20:B20"/>
    <mergeCell ref="A23:B23"/>
    <mergeCell ref="A24:B24"/>
    <mergeCell ref="A8:A9"/>
    <mergeCell ref="B8:B9"/>
    <mergeCell ref="D8:I8"/>
    <mergeCell ref="A11:B11"/>
    <mergeCell ref="A19:B19"/>
    <mergeCell ref="G1:I1"/>
    <mergeCell ref="A2:I2"/>
    <mergeCell ref="A3:I3"/>
    <mergeCell ref="B5:H5"/>
    <mergeCell ref="B6:H6"/>
    <mergeCell ref="H7:I7"/>
    <mergeCell ref="C8:C9"/>
  </mergeCells>
  <pageMargins left="0.75" right="0.75" top="1" bottom="1" header="0.5" footer="0.5"/>
  <pageSetup paperSize="9" scale="97" orientation="landscape" r:id="rId1"/>
  <headerFooter alignWithMargins="0">
    <oddHeader xml:space="preserve">&amp;R11 3. sz. melléklet
.../2020.(VI.25.) Egyek Önk. r.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"/>
  <sheetViews>
    <sheetView topLeftCell="A250" zoomScaleNormal="100" workbookViewId="0">
      <selection activeCell="A271" sqref="A271:A279"/>
    </sheetView>
  </sheetViews>
  <sheetFormatPr defaultRowHeight="12.75" x14ac:dyDescent="0.2"/>
  <cols>
    <col min="1" max="1" width="37.5703125" style="614" customWidth="1"/>
    <col min="2" max="2" width="27.5703125" style="24" customWidth="1"/>
    <col min="3" max="3" width="18.5703125" style="24" customWidth="1"/>
    <col min="4" max="4" width="17" style="617" customWidth="1"/>
    <col min="5" max="5" width="19" style="618" bestFit="1" customWidth="1"/>
    <col min="6" max="6" width="20.42578125" style="617" customWidth="1"/>
    <col min="7" max="7" width="15.5703125" style="588" customWidth="1"/>
    <col min="8" max="9" width="17.42578125" customWidth="1"/>
    <col min="10" max="10" width="17.85546875" customWidth="1"/>
  </cols>
  <sheetData>
    <row r="1" spans="1:10" ht="15.75" customHeight="1" x14ac:dyDescent="0.2">
      <c r="A1" s="1511" t="s">
        <v>604</v>
      </c>
      <c r="B1" s="1511"/>
      <c r="C1" s="1511"/>
      <c r="D1" s="1511"/>
      <c r="E1" s="1511"/>
      <c r="F1" s="1511"/>
      <c r="G1" s="1511"/>
      <c r="H1" s="173"/>
      <c r="I1" s="173"/>
      <c r="J1" s="173"/>
    </row>
    <row r="2" spans="1:10" ht="12.75" customHeight="1" x14ac:dyDescent="0.2">
      <c r="A2" s="612"/>
      <c r="B2" s="612"/>
      <c r="C2" s="612"/>
      <c r="D2" s="616"/>
      <c r="E2" s="616"/>
      <c r="F2" s="616"/>
      <c r="G2" s="613"/>
      <c r="H2" s="173"/>
      <c r="I2" s="173"/>
      <c r="J2" s="173"/>
    </row>
    <row r="3" spans="1:10" ht="13.5" thickBot="1" x14ac:dyDescent="0.25">
      <c r="F3" s="969" t="s">
        <v>184</v>
      </c>
      <c r="G3" s="969"/>
    </row>
    <row r="4" spans="1:10" ht="16.5" thickBot="1" x14ac:dyDescent="0.3">
      <c r="A4" s="619" t="s">
        <v>73</v>
      </c>
      <c r="B4" s="620" t="s">
        <v>151</v>
      </c>
      <c r="C4" s="621" t="s">
        <v>147</v>
      </c>
      <c r="D4" s="622" t="s">
        <v>152</v>
      </c>
      <c r="E4" s="622" t="s">
        <v>149</v>
      </c>
      <c r="F4" s="623" t="s">
        <v>150</v>
      </c>
    </row>
    <row r="5" spans="1:10" ht="24" x14ac:dyDescent="0.2">
      <c r="A5" s="1512" t="s">
        <v>164</v>
      </c>
      <c r="B5" s="658" t="s">
        <v>53</v>
      </c>
      <c r="C5" s="1131"/>
      <c r="D5" s="626"/>
      <c r="E5" s="627"/>
      <c r="F5" s="667"/>
    </row>
    <row r="6" spans="1:10" ht="36" x14ac:dyDescent="0.2">
      <c r="A6" s="1512"/>
      <c r="B6" s="646" t="s">
        <v>58</v>
      </c>
      <c r="C6" s="1132"/>
      <c r="D6" s="631"/>
      <c r="E6" s="632"/>
      <c r="F6" s="633"/>
    </row>
    <row r="7" spans="1:10" x14ac:dyDescent="0.2">
      <c r="A7" s="1512"/>
      <c r="B7" s="646" t="s">
        <v>71</v>
      </c>
      <c r="C7" s="1132"/>
      <c r="D7" s="631"/>
      <c r="E7" s="632"/>
      <c r="F7" s="633"/>
    </row>
    <row r="8" spans="1:10" x14ac:dyDescent="0.2">
      <c r="A8" s="1512"/>
      <c r="B8" s="646" t="s">
        <v>51</v>
      </c>
      <c r="C8" s="1132">
        <v>770000</v>
      </c>
      <c r="D8" s="631">
        <v>7840000</v>
      </c>
      <c r="E8" s="632">
        <v>4255680</v>
      </c>
      <c r="F8" s="669">
        <f>E8/D8*100</f>
        <v>54.28163265306123</v>
      </c>
    </row>
    <row r="9" spans="1:10" x14ac:dyDescent="0.2">
      <c r="A9" s="1512"/>
      <c r="B9" s="646" t="s">
        <v>72</v>
      </c>
      <c r="C9" s="1132"/>
      <c r="D9" s="631">
        <v>8000</v>
      </c>
      <c r="E9" s="632">
        <v>7874</v>
      </c>
      <c r="F9" s="669">
        <f>E9/D9*100</f>
        <v>98.424999999999997</v>
      </c>
    </row>
    <row r="10" spans="1:10" ht="24" x14ac:dyDescent="0.2">
      <c r="A10" s="1512"/>
      <c r="B10" s="646" t="s">
        <v>69</v>
      </c>
      <c r="C10" s="1132">
        <v>10795199</v>
      </c>
      <c r="D10" s="631">
        <v>10795199</v>
      </c>
      <c r="E10" s="632">
        <v>9295199</v>
      </c>
      <c r="F10" s="669">
        <f>E10/D10*100</f>
        <v>86.104934239748616</v>
      </c>
    </row>
    <row r="11" spans="1:10" ht="24" x14ac:dyDescent="0.2">
      <c r="A11" s="1512"/>
      <c r="B11" s="646" t="s">
        <v>60</v>
      </c>
      <c r="C11" s="1134"/>
      <c r="D11" s="631"/>
      <c r="E11" s="632"/>
      <c r="F11" s="669"/>
    </row>
    <row r="12" spans="1:10" x14ac:dyDescent="0.2">
      <c r="A12" s="1512"/>
      <c r="B12" s="646" t="s">
        <v>67</v>
      </c>
      <c r="C12" s="1132">
        <v>19704024</v>
      </c>
      <c r="D12" s="631">
        <v>20020624</v>
      </c>
      <c r="E12" s="632"/>
      <c r="F12" s="633"/>
    </row>
    <row r="13" spans="1:10" ht="13.5" thickBot="1" x14ac:dyDescent="0.25">
      <c r="A13" s="1513"/>
      <c r="B13" s="649" t="s">
        <v>11</v>
      </c>
      <c r="C13" s="650">
        <f>SUM(C5:C12)</f>
        <v>31269223</v>
      </c>
      <c r="D13" s="644">
        <f>SUM(D5:D12)</f>
        <v>38663823</v>
      </c>
      <c r="E13" s="644">
        <f>SUM(E5:E12)</f>
        <v>13558753</v>
      </c>
      <c r="F13" s="645">
        <f>E13/D13*100</f>
        <v>35.068319550293822</v>
      </c>
    </row>
    <row r="14" spans="1:10" ht="24" x14ac:dyDescent="0.2">
      <c r="A14" s="1512" t="s">
        <v>79</v>
      </c>
      <c r="B14" s="658" t="s">
        <v>53</v>
      </c>
      <c r="C14" s="1131"/>
      <c r="D14" s="626"/>
      <c r="E14" s="627"/>
      <c r="F14" s="628"/>
    </row>
    <row r="15" spans="1:10" ht="36" x14ac:dyDescent="0.2">
      <c r="A15" s="1512"/>
      <c r="B15" s="646" t="s">
        <v>58</v>
      </c>
      <c r="C15" s="1132"/>
      <c r="D15" s="631"/>
      <c r="E15" s="632"/>
      <c r="F15" s="633"/>
    </row>
    <row r="16" spans="1:10" x14ac:dyDescent="0.2">
      <c r="A16" s="1512"/>
      <c r="B16" s="646" t="s">
        <v>71</v>
      </c>
      <c r="C16" s="1132"/>
      <c r="D16" s="631"/>
      <c r="E16" s="632"/>
      <c r="F16" s="633"/>
    </row>
    <row r="17" spans="1:6" x14ac:dyDescent="0.2">
      <c r="A17" s="1512"/>
      <c r="B17" s="646" t="s">
        <v>51</v>
      </c>
      <c r="C17" s="1132">
        <v>1000000</v>
      </c>
      <c r="D17" s="631">
        <v>1635000</v>
      </c>
      <c r="E17" s="632">
        <v>1078890</v>
      </c>
      <c r="F17" s="669">
        <f>E17/D17*100</f>
        <v>65.987155963302754</v>
      </c>
    </row>
    <row r="18" spans="1:6" x14ac:dyDescent="0.2">
      <c r="A18" s="1512"/>
      <c r="B18" s="646" t="s">
        <v>72</v>
      </c>
      <c r="C18" s="1132"/>
      <c r="D18" s="631"/>
      <c r="E18" s="632"/>
      <c r="F18" s="633"/>
    </row>
    <row r="19" spans="1:6" ht="24" x14ac:dyDescent="0.2">
      <c r="A19" s="1512"/>
      <c r="B19" s="646" t="s">
        <v>69</v>
      </c>
      <c r="C19" s="1132"/>
      <c r="D19" s="631"/>
      <c r="E19" s="632"/>
      <c r="F19" s="633"/>
    </row>
    <row r="20" spans="1:6" ht="24" x14ac:dyDescent="0.2">
      <c r="A20" s="1512"/>
      <c r="B20" s="646" t="s">
        <v>60</v>
      </c>
      <c r="C20" s="1225"/>
      <c r="D20" s="639"/>
      <c r="E20" s="640"/>
      <c r="F20" s="641"/>
    </row>
    <row r="21" spans="1:6" x14ac:dyDescent="0.2">
      <c r="A21" s="1512"/>
      <c r="B21" s="646" t="s">
        <v>67</v>
      </c>
      <c r="C21" s="1226">
        <v>1805000</v>
      </c>
      <c r="D21" s="639">
        <v>1805000</v>
      </c>
      <c r="E21" s="640"/>
      <c r="F21" s="641"/>
    </row>
    <row r="22" spans="1:6" ht="13.5" thickBot="1" x14ac:dyDescent="0.25">
      <c r="A22" s="1513"/>
      <c r="B22" s="649" t="s">
        <v>11</v>
      </c>
      <c r="C22" s="650">
        <f>SUM(C14:C21)</f>
        <v>2805000</v>
      </c>
      <c r="D22" s="644">
        <f>SUM(D14:D21)</f>
        <v>3440000</v>
      </c>
      <c r="E22" s="644">
        <f>SUM(E14:E21)</f>
        <v>1078890</v>
      </c>
      <c r="F22" s="645">
        <f>E22/D22*100</f>
        <v>31.363081395348836</v>
      </c>
    </row>
    <row r="23" spans="1:6" ht="24" x14ac:dyDescent="0.2">
      <c r="A23" s="1512" t="s">
        <v>74</v>
      </c>
      <c r="B23" s="658" t="s">
        <v>53</v>
      </c>
      <c r="C23" s="1131"/>
      <c r="D23" s="626">
        <v>730000</v>
      </c>
      <c r="E23" s="627">
        <v>4442709</v>
      </c>
      <c r="F23" s="667">
        <f t="shared" ref="F23:F24" si="0">E23/D23*100</f>
        <v>608.59027397260274</v>
      </c>
    </row>
    <row r="24" spans="1:6" ht="36" x14ac:dyDescent="0.2">
      <c r="A24" s="1512"/>
      <c r="B24" s="646" t="s">
        <v>58</v>
      </c>
      <c r="C24" s="1132"/>
      <c r="D24" s="631">
        <v>293250</v>
      </c>
      <c r="E24" s="632">
        <v>293250</v>
      </c>
      <c r="F24" s="669">
        <f t="shared" si="0"/>
        <v>100</v>
      </c>
    </row>
    <row r="25" spans="1:6" x14ac:dyDescent="0.2">
      <c r="A25" s="1512"/>
      <c r="B25" s="646" t="s">
        <v>71</v>
      </c>
      <c r="C25" s="1132"/>
      <c r="D25" s="631"/>
      <c r="E25" s="632"/>
      <c r="F25" s="669"/>
    </row>
    <row r="26" spans="1:6" x14ac:dyDescent="0.2">
      <c r="A26" s="1512"/>
      <c r="B26" s="646" t="s">
        <v>51</v>
      </c>
      <c r="C26" s="1132">
        <v>35012198</v>
      </c>
      <c r="D26" s="631">
        <v>48286674</v>
      </c>
      <c r="E26" s="632">
        <v>38500641</v>
      </c>
      <c r="F26" s="669">
        <f>E26/D26*100</f>
        <v>79.733470563741875</v>
      </c>
    </row>
    <row r="27" spans="1:6" x14ac:dyDescent="0.2">
      <c r="A27" s="1512"/>
      <c r="B27" s="646" t="s">
        <v>72</v>
      </c>
      <c r="C27" s="1132">
        <v>25679000</v>
      </c>
      <c r="D27" s="631">
        <v>26680031</v>
      </c>
      <c r="E27" s="632">
        <v>53501302</v>
      </c>
      <c r="F27" s="669">
        <f>E27/D27*100</f>
        <v>200.52938469224421</v>
      </c>
    </row>
    <row r="28" spans="1:6" ht="24" x14ac:dyDescent="0.2">
      <c r="A28" s="1512"/>
      <c r="B28" s="646" t="s">
        <v>69</v>
      </c>
      <c r="C28" s="1132"/>
      <c r="D28" s="631"/>
      <c r="E28" s="632"/>
      <c r="F28" s="633"/>
    </row>
    <row r="29" spans="1:6" ht="24" x14ac:dyDescent="0.2">
      <c r="A29" s="1512"/>
      <c r="B29" s="646" t="s">
        <v>60</v>
      </c>
      <c r="C29" s="1134"/>
      <c r="D29" s="631"/>
      <c r="E29" s="632"/>
      <c r="F29" s="633"/>
    </row>
    <row r="30" spans="1:6" x14ac:dyDescent="0.2">
      <c r="A30" s="1512"/>
      <c r="B30" s="646" t="s">
        <v>67</v>
      </c>
      <c r="C30" s="1132">
        <v>44428562</v>
      </c>
      <c r="D30" s="631">
        <v>44428562</v>
      </c>
      <c r="E30" s="632"/>
      <c r="F30" s="633"/>
    </row>
    <row r="31" spans="1:6" ht="13.5" thickBot="1" x14ac:dyDescent="0.25">
      <c r="A31" s="1513"/>
      <c r="B31" s="649" t="s">
        <v>11</v>
      </c>
      <c r="C31" s="650">
        <f>SUM(C23:C30)</f>
        <v>105119760</v>
      </c>
      <c r="D31" s="1130">
        <f>SUM(D23:D30)</f>
        <v>120418517</v>
      </c>
      <c r="E31" s="1130">
        <f>SUM(E23:E30)</f>
        <v>96737902</v>
      </c>
      <c r="F31" s="645">
        <f>E31/D31*100</f>
        <v>80.334739548403505</v>
      </c>
    </row>
    <row r="32" spans="1:6" ht="24" x14ac:dyDescent="0.2">
      <c r="A32" s="1512" t="s">
        <v>75</v>
      </c>
      <c r="B32" s="660" t="s">
        <v>53</v>
      </c>
      <c r="C32" s="1131">
        <v>345836772</v>
      </c>
      <c r="D32" s="626">
        <v>283375228</v>
      </c>
      <c r="E32" s="627">
        <v>283375228</v>
      </c>
      <c r="F32" s="667">
        <f>E32/D32*100</f>
        <v>100</v>
      </c>
    </row>
    <row r="33" spans="1:6" ht="36" x14ac:dyDescent="0.2">
      <c r="A33" s="1512"/>
      <c r="B33" s="646" t="s">
        <v>58</v>
      </c>
      <c r="C33" s="1132"/>
      <c r="D33" s="631">
        <v>16999999</v>
      </c>
      <c r="E33" s="632">
        <v>16999999</v>
      </c>
      <c r="F33" s="633">
        <f>E33/D33*100</f>
        <v>100</v>
      </c>
    </row>
    <row r="34" spans="1:6" x14ac:dyDescent="0.2">
      <c r="A34" s="1512"/>
      <c r="B34" s="646" t="s">
        <v>71</v>
      </c>
      <c r="C34" s="1132"/>
      <c r="D34" s="631"/>
      <c r="E34" s="632"/>
      <c r="F34" s="633"/>
    </row>
    <row r="35" spans="1:6" x14ac:dyDescent="0.2">
      <c r="A35" s="1512"/>
      <c r="B35" s="646" t="s">
        <v>51</v>
      </c>
      <c r="C35" s="1132"/>
      <c r="D35" s="631"/>
      <c r="E35" s="632"/>
      <c r="F35" s="633"/>
    </row>
    <row r="36" spans="1:6" x14ac:dyDescent="0.2">
      <c r="A36" s="1512"/>
      <c r="B36" s="646" t="s">
        <v>72</v>
      </c>
      <c r="C36" s="1132"/>
      <c r="D36" s="631"/>
      <c r="E36" s="632"/>
      <c r="F36" s="633"/>
    </row>
    <row r="37" spans="1:6" ht="24" x14ac:dyDescent="0.2">
      <c r="A37" s="1512"/>
      <c r="B37" s="646" t="s">
        <v>69</v>
      </c>
      <c r="C37" s="1132"/>
      <c r="D37" s="631"/>
      <c r="E37" s="632"/>
      <c r="F37" s="633"/>
    </row>
    <row r="38" spans="1:6" ht="24" x14ac:dyDescent="0.2">
      <c r="A38" s="1512"/>
      <c r="B38" s="646" t="s">
        <v>60</v>
      </c>
      <c r="C38" s="1134"/>
      <c r="D38" s="631"/>
      <c r="E38" s="632"/>
      <c r="F38" s="633"/>
    </row>
    <row r="39" spans="1:6" x14ac:dyDescent="0.2">
      <c r="A39" s="1512"/>
      <c r="B39" s="646" t="s">
        <v>67</v>
      </c>
      <c r="C39" s="1132">
        <v>10128606</v>
      </c>
      <c r="D39" s="631">
        <v>73298457</v>
      </c>
      <c r="E39" s="632">
        <v>63169851</v>
      </c>
      <c r="F39" s="633">
        <f t="shared" ref="F39" si="1">E39/D39*100</f>
        <v>86.181692746956458</v>
      </c>
    </row>
    <row r="40" spans="1:6" ht="13.5" thickBot="1" x14ac:dyDescent="0.25">
      <c r="A40" s="1513"/>
      <c r="B40" s="649" t="s">
        <v>11</v>
      </c>
      <c r="C40" s="650">
        <f>SUM(C32:C39)</f>
        <v>355965378</v>
      </c>
      <c r="D40" s="644">
        <f>SUM(D32:D39)</f>
        <v>373673684</v>
      </c>
      <c r="E40" s="644">
        <f>SUM(E32:E39)</f>
        <v>363545078</v>
      </c>
      <c r="F40" s="645">
        <f>E40/D40*100</f>
        <v>97.28945161682833</v>
      </c>
    </row>
    <row r="41" spans="1:6" ht="24" x14ac:dyDescent="0.2">
      <c r="A41" s="1504" t="s">
        <v>362</v>
      </c>
      <c r="B41" s="646" t="s">
        <v>53</v>
      </c>
      <c r="C41" s="666"/>
      <c r="D41" s="970"/>
      <c r="E41" s="970"/>
      <c r="F41" s="628"/>
    </row>
    <row r="42" spans="1:6" ht="36" x14ac:dyDescent="0.2">
      <c r="A42" s="1505"/>
      <c r="B42" s="646" t="s">
        <v>58</v>
      </c>
      <c r="C42" s="668"/>
      <c r="D42" s="971"/>
      <c r="E42" s="971"/>
      <c r="F42" s="648"/>
    </row>
    <row r="43" spans="1:6" x14ac:dyDescent="0.2">
      <c r="A43" s="1505"/>
      <c r="B43" s="646" t="s">
        <v>71</v>
      </c>
      <c r="C43" s="668"/>
      <c r="D43" s="971"/>
      <c r="E43" s="971"/>
      <c r="F43" s="648"/>
    </row>
    <row r="44" spans="1:6" x14ac:dyDescent="0.2">
      <c r="A44" s="1505"/>
      <c r="B44" s="646" t="s">
        <v>51</v>
      </c>
      <c r="C44" s="668"/>
      <c r="D44" s="971"/>
      <c r="E44" s="971"/>
      <c r="F44" s="648"/>
    </row>
    <row r="45" spans="1:6" x14ac:dyDescent="0.2">
      <c r="A45" s="1505"/>
      <c r="B45" s="646" t="s">
        <v>72</v>
      </c>
      <c r="C45" s="668"/>
      <c r="D45" s="971"/>
      <c r="E45" s="971"/>
      <c r="F45" s="648"/>
    </row>
    <row r="46" spans="1:6" ht="24" x14ac:dyDescent="0.2">
      <c r="A46" s="1505"/>
      <c r="B46" s="646" t="s">
        <v>69</v>
      </c>
      <c r="C46" s="668"/>
      <c r="D46" s="971"/>
      <c r="E46" s="971"/>
      <c r="F46" s="648"/>
    </row>
    <row r="47" spans="1:6" ht="24" x14ac:dyDescent="0.2">
      <c r="A47" s="1505"/>
      <c r="B47" s="646" t="s">
        <v>60</v>
      </c>
      <c r="C47" s="668"/>
      <c r="D47" s="971"/>
      <c r="E47" s="971"/>
      <c r="F47" s="648"/>
    </row>
    <row r="48" spans="1:6" x14ac:dyDescent="0.2">
      <c r="A48" s="1505"/>
      <c r="B48" s="646" t="s">
        <v>67</v>
      </c>
      <c r="C48" s="668"/>
      <c r="D48" s="971"/>
      <c r="E48" s="971">
        <v>1052470843</v>
      </c>
      <c r="F48" s="633"/>
    </row>
    <row r="49" spans="1:6" ht="13.5" thickBot="1" x14ac:dyDescent="0.25">
      <c r="A49" s="1507"/>
      <c r="B49" s="649" t="s">
        <v>11</v>
      </c>
      <c r="C49" s="651">
        <f>SUM(C41:C48)</f>
        <v>0</v>
      </c>
      <c r="D49" s="1129">
        <f>SUM(D41:D48)</f>
        <v>0</v>
      </c>
      <c r="E49" s="1129">
        <f>SUM(E41:E48)</f>
        <v>1052470843</v>
      </c>
      <c r="F49" s="638"/>
    </row>
    <row r="50" spans="1:6" ht="16.5" thickBot="1" x14ac:dyDescent="0.3">
      <c r="A50" s="619" t="s">
        <v>73</v>
      </c>
      <c r="B50" s="620" t="s">
        <v>151</v>
      </c>
      <c r="C50" s="1227" t="s">
        <v>147</v>
      </c>
      <c r="D50" s="1228" t="s">
        <v>152</v>
      </c>
      <c r="E50" s="1228" t="s">
        <v>149</v>
      </c>
      <c r="F50" s="1229" t="s">
        <v>150</v>
      </c>
    </row>
    <row r="51" spans="1:6" ht="24" x14ac:dyDescent="0.2">
      <c r="A51" s="1504" t="s">
        <v>605</v>
      </c>
      <c r="B51" s="658" t="s">
        <v>53</v>
      </c>
      <c r="C51" s="1131"/>
      <c r="D51" s="626"/>
      <c r="E51" s="627">
        <v>3251985</v>
      </c>
      <c r="F51" s="628"/>
    </row>
    <row r="52" spans="1:6" ht="36" x14ac:dyDescent="0.2">
      <c r="A52" s="1505"/>
      <c r="B52" s="646" t="s">
        <v>58</v>
      </c>
      <c r="C52" s="1132"/>
      <c r="D52" s="631"/>
      <c r="E52" s="632"/>
      <c r="F52" s="633"/>
    </row>
    <row r="53" spans="1:6" x14ac:dyDescent="0.2">
      <c r="A53" s="1505"/>
      <c r="B53" s="646" t="s">
        <v>71</v>
      </c>
      <c r="C53" s="1132"/>
      <c r="D53" s="631"/>
      <c r="E53" s="632"/>
      <c r="F53" s="633"/>
    </row>
    <row r="54" spans="1:6" x14ac:dyDescent="0.2">
      <c r="A54" s="1505"/>
      <c r="B54" s="646" t="s">
        <v>51</v>
      </c>
      <c r="C54" s="1132"/>
      <c r="D54" s="631"/>
      <c r="E54" s="632"/>
      <c r="F54" s="633"/>
    </row>
    <row r="55" spans="1:6" x14ac:dyDescent="0.2">
      <c r="A55" s="1505"/>
      <c r="B55" s="646" t="s">
        <v>72</v>
      </c>
      <c r="C55" s="1132"/>
      <c r="D55" s="631"/>
      <c r="E55" s="632"/>
      <c r="F55" s="633"/>
    </row>
    <row r="56" spans="1:6" ht="24" x14ac:dyDescent="0.2">
      <c r="A56" s="1505"/>
      <c r="B56" s="646" t="s">
        <v>69</v>
      </c>
      <c r="C56" s="1132"/>
      <c r="D56" s="631">
        <v>2547998</v>
      </c>
      <c r="E56" s="632"/>
      <c r="F56" s="633"/>
    </row>
    <row r="57" spans="1:6" ht="24" x14ac:dyDescent="0.2">
      <c r="A57" s="1505"/>
      <c r="B57" s="646" t="s">
        <v>60</v>
      </c>
      <c r="C57" s="1134"/>
      <c r="D57" s="631"/>
      <c r="E57" s="632"/>
      <c r="F57" s="633"/>
    </row>
    <row r="58" spans="1:6" x14ac:dyDescent="0.2">
      <c r="A58" s="1505"/>
      <c r="B58" s="646" t="s">
        <v>67</v>
      </c>
      <c r="C58" s="1132"/>
      <c r="D58" s="631"/>
      <c r="E58" s="632"/>
      <c r="F58" s="633"/>
    </row>
    <row r="59" spans="1:6" ht="13.5" thickBot="1" x14ac:dyDescent="0.25">
      <c r="A59" s="1506"/>
      <c r="B59" s="649" t="s">
        <v>11</v>
      </c>
      <c r="C59" s="651">
        <f>SUM(C51:C58)</f>
        <v>0</v>
      </c>
      <c r="D59" s="637">
        <f>SUM(D51:D58)</f>
        <v>2547998</v>
      </c>
      <c r="E59" s="637">
        <f>SUM(E51:E58)</f>
        <v>3251985</v>
      </c>
      <c r="F59" s="638">
        <f>E59/D59*100</f>
        <v>127.62902482655009</v>
      </c>
    </row>
    <row r="60" spans="1:6" ht="24" x14ac:dyDescent="0.2">
      <c r="A60" s="1504" t="s">
        <v>474</v>
      </c>
      <c r="B60" s="658" t="s">
        <v>53</v>
      </c>
      <c r="C60" s="1131"/>
      <c r="D60" s="626">
        <v>73208201</v>
      </c>
      <c r="E60" s="627">
        <v>84509877</v>
      </c>
      <c r="F60" s="628">
        <f>E60/D60*100</f>
        <v>115.43771851462378</v>
      </c>
    </row>
    <row r="61" spans="1:6" ht="36" x14ac:dyDescent="0.2">
      <c r="A61" s="1505"/>
      <c r="B61" s="646" t="s">
        <v>58</v>
      </c>
      <c r="C61" s="1132"/>
      <c r="D61" s="631"/>
      <c r="E61" s="632"/>
      <c r="F61" s="633"/>
    </row>
    <row r="62" spans="1:6" x14ac:dyDescent="0.2">
      <c r="A62" s="1505"/>
      <c r="B62" s="646" t="s">
        <v>71</v>
      </c>
      <c r="C62" s="1132"/>
      <c r="D62" s="631"/>
      <c r="E62" s="632"/>
      <c r="F62" s="633"/>
    </row>
    <row r="63" spans="1:6" x14ac:dyDescent="0.2">
      <c r="A63" s="1505"/>
      <c r="B63" s="646" t="s">
        <v>51</v>
      </c>
      <c r="C63" s="1132"/>
      <c r="D63" s="631"/>
      <c r="E63" s="632"/>
      <c r="F63" s="633"/>
    </row>
    <row r="64" spans="1:6" x14ac:dyDescent="0.2">
      <c r="A64" s="1505"/>
      <c r="B64" s="646" t="s">
        <v>72</v>
      </c>
      <c r="C64" s="1132"/>
      <c r="D64" s="631"/>
      <c r="E64" s="632"/>
      <c r="F64" s="633"/>
    </row>
    <row r="65" spans="1:6" ht="24" x14ac:dyDescent="0.2">
      <c r="A65" s="1505"/>
      <c r="B65" s="646" t="s">
        <v>69</v>
      </c>
      <c r="C65" s="1132"/>
      <c r="D65" s="631"/>
      <c r="E65" s="632"/>
      <c r="F65" s="633"/>
    </row>
    <row r="66" spans="1:6" ht="24" x14ac:dyDescent="0.2">
      <c r="A66" s="1505"/>
      <c r="B66" s="646" t="s">
        <v>60</v>
      </c>
      <c r="C66" s="1134"/>
      <c r="D66" s="631"/>
      <c r="E66" s="632"/>
      <c r="F66" s="633"/>
    </row>
    <row r="67" spans="1:6" x14ac:dyDescent="0.2">
      <c r="A67" s="1505"/>
      <c r="B67" s="646" t="s">
        <v>67</v>
      </c>
      <c r="C67" s="1132"/>
      <c r="D67" s="631"/>
      <c r="E67" s="632"/>
      <c r="F67" s="633"/>
    </row>
    <row r="68" spans="1:6" ht="13.5" thickBot="1" x14ac:dyDescent="0.25">
      <c r="A68" s="1506"/>
      <c r="B68" s="649" t="s">
        <v>11</v>
      </c>
      <c r="C68" s="651">
        <f>SUM(C60:C67)</f>
        <v>0</v>
      </c>
      <c r="D68" s="637">
        <f>SUM(D60:D67)</f>
        <v>73208201</v>
      </c>
      <c r="E68" s="637">
        <f>SUM(E60:E67)</f>
        <v>84509877</v>
      </c>
      <c r="F68" s="638">
        <f>E68/D68*100</f>
        <v>115.43771851462378</v>
      </c>
    </row>
    <row r="69" spans="1:6" ht="24" x14ac:dyDescent="0.2">
      <c r="A69" s="1508" t="s">
        <v>78</v>
      </c>
      <c r="B69" s="624" t="s">
        <v>53</v>
      </c>
      <c r="C69" s="653"/>
      <c r="D69" s="654">
        <v>309015388</v>
      </c>
      <c r="E69" s="655">
        <v>293109342</v>
      </c>
      <c r="F69" s="656">
        <f>E69/D69*100</f>
        <v>94.852668631505182</v>
      </c>
    </row>
    <row r="70" spans="1:6" ht="36" x14ac:dyDescent="0.2">
      <c r="A70" s="1509"/>
      <c r="B70" s="629" t="s">
        <v>58</v>
      </c>
      <c r="C70" s="630"/>
      <c r="D70" s="631">
        <v>952000</v>
      </c>
      <c r="E70" s="632">
        <v>48298959</v>
      </c>
      <c r="F70" s="633">
        <f>E70/D70*100</f>
        <v>5073.4200630252108</v>
      </c>
    </row>
    <row r="71" spans="1:6" x14ac:dyDescent="0.2">
      <c r="A71" s="1509"/>
      <c r="B71" s="629" t="s">
        <v>71</v>
      </c>
      <c r="C71" s="630"/>
      <c r="D71" s="631"/>
      <c r="E71" s="632"/>
      <c r="F71" s="633"/>
    </row>
    <row r="72" spans="1:6" x14ac:dyDescent="0.2">
      <c r="A72" s="1509"/>
      <c r="B72" s="629" t="s">
        <v>51</v>
      </c>
      <c r="C72" s="630">
        <v>16000000</v>
      </c>
      <c r="D72" s="631">
        <v>17620000</v>
      </c>
      <c r="E72" s="632">
        <v>19573529</v>
      </c>
      <c r="F72" s="633">
        <f>E72/D72*100</f>
        <v>111.08699772985244</v>
      </c>
    </row>
    <row r="73" spans="1:6" x14ac:dyDescent="0.2">
      <c r="A73" s="1509"/>
      <c r="B73" s="629" t="s">
        <v>72</v>
      </c>
      <c r="C73" s="630"/>
      <c r="D73" s="631"/>
      <c r="E73" s="632"/>
      <c r="F73" s="633"/>
    </row>
    <row r="74" spans="1:6" ht="24" x14ac:dyDescent="0.2">
      <c r="A74" s="1509"/>
      <c r="B74" s="629" t="s">
        <v>69</v>
      </c>
      <c r="C74" s="630"/>
      <c r="D74" s="631"/>
      <c r="E74" s="632"/>
      <c r="F74" s="633"/>
    </row>
    <row r="75" spans="1:6" ht="24" x14ac:dyDescent="0.2">
      <c r="A75" s="1509"/>
      <c r="B75" s="629" t="s">
        <v>60</v>
      </c>
      <c r="C75" s="652"/>
      <c r="D75" s="631"/>
      <c r="E75" s="632"/>
      <c r="F75" s="633"/>
    </row>
    <row r="76" spans="1:6" x14ac:dyDescent="0.2">
      <c r="A76" s="1509"/>
      <c r="B76" s="629" t="s">
        <v>67</v>
      </c>
      <c r="C76" s="630">
        <v>59486316</v>
      </c>
      <c r="D76" s="631">
        <v>59646316</v>
      </c>
      <c r="E76" s="632"/>
      <c r="F76" s="633"/>
    </row>
    <row r="77" spans="1:6" ht="13.5" thickBot="1" x14ac:dyDescent="0.25">
      <c r="A77" s="1510"/>
      <c r="B77" s="657" t="s">
        <v>11</v>
      </c>
      <c r="C77" s="643">
        <f>SUM(C69:C76)</f>
        <v>75486316</v>
      </c>
      <c r="D77" s="644">
        <f>SUM(D69:D76)</f>
        <v>387233704</v>
      </c>
      <c r="E77" s="644">
        <f>SUM(E69:E76)</f>
        <v>360981830</v>
      </c>
      <c r="F77" s="645">
        <f>E77/D77*100</f>
        <v>93.220663974022273</v>
      </c>
    </row>
    <row r="78" spans="1:6" ht="24" x14ac:dyDescent="0.2">
      <c r="A78" s="1508" t="s">
        <v>536</v>
      </c>
      <c r="B78" s="1125" t="s">
        <v>53</v>
      </c>
      <c r="C78" s="1126"/>
      <c r="D78" s="970"/>
      <c r="E78" s="970"/>
      <c r="F78" s="647"/>
    </row>
    <row r="79" spans="1:6" ht="36" x14ac:dyDescent="0.2">
      <c r="A79" s="1509"/>
      <c r="B79" s="1127" t="s">
        <v>58</v>
      </c>
      <c r="C79" s="1124"/>
      <c r="D79" s="971"/>
      <c r="E79" s="971"/>
      <c r="F79" s="648"/>
    </row>
    <row r="80" spans="1:6" x14ac:dyDescent="0.2">
      <c r="A80" s="1509"/>
      <c r="B80" s="1127" t="s">
        <v>71</v>
      </c>
      <c r="C80" s="1124"/>
      <c r="D80" s="971"/>
      <c r="E80" s="971"/>
      <c r="F80" s="648"/>
    </row>
    <row r="81" spans="1:6" x14ac:dyDescent="0.2">
      <c r="A81" s="1509"/>
      <c r="B81" s="1127" t="s">
        <v>51</v>
      </c>
      <c r="C81" s="1124">
        <v>9175000</v>
      </c>
      <c r="D81" s="971">
        <v>12885000</v>
      </c>
      <c r="E81" s="971">
        <v>14896067</v>
      </c>
      <c r="F81" s="633">
        <f>E81/D81*100</f>
        <v>115.60781528909585</v>
      </c>
    </row>
    <row r="82" spans="1:6" x14ac:dyDescent="0.2">
      <c r="A82" s="1509"/>
      <c r="B82" s="1127" t="s">
        <v>72</v>
      </c>
      <c r="C82" s="1124"/>
      <c r="D82" s="971"/>
      <c r="E82" s="971"/>
      <c r="F82" s="648"/>
    </row>
    <row r="83" spans="1:6" ht="24" x14ac:dyDescent="0.2">
      <c r="A83" s="1509"/>
      <c r="B83" s="1127" t="s">
        <v>69</v>
      </c>
      <c r="C83" s="1124"/>
      <c r="D83" s="971"/>
      <c r="E83" s="971"/>
      <c r="F83" s="648"/>
    </row>
    <row r="84" spans="1:6" ht="24" x14ac:dyDescent="0.2">
      <c r="A84" s="1509"/>
      <c r="B84" s="1127" t="s">
        <v>60</v>
      </c>
      <c r="C84" s="1124"/>
      <c r="D84" s="971"/>
      <c r="E84" s="971"/>
      <c r="F84" s="648"/>
    </row>
    <row r="85" spans="1:6" x14ac:dyDescent="0.2">
      <c r="A85" s="1509"/>
      <c r="B85" s="1127" t="s">
        <v>67</v>
      </c>
      <c r="C85" s="1124">
        <v>500000</v>
      </c>
      <c r="D85" s="971">
        <v>500000</v>
      </c>
      <c r="E85" s="971"/>
      <c r="F85" s="648"/>
    </row>
    <row r="86" spans="1:6" ht="13.5" thickBot="1" x14ac:dyDescent="0.25">
      <c r="A86" s="1510"/>
      <c r="B86" s="1128" t="s">
        <v>11</v>
      </c>
      <c r="C86" s="1130">
        <f>SUM(C78:C85)</f>
        <v>9675000</v>
      </c>
      <c r="D86" s="1130">
        <f t="shared" ref="D86:E86" si="2">SUM(D78:D85)</f>
        <v>13385000</v>
      </c>
      <c r="E86" s="1130">
        <f t="shared" si="2"/>
        <v>14896067</v>
      </c>
      <c r="F86" s="826">
        <f>E86/D86*100</f>
        <v>111.28925663055659</v>
      </c>
    </row>
    <row r="87" spans="1:6" ht="24" x14ac:dyDescent="0.2">
      <c r="A87" s="1508" t="s">
        <v>475</v>
      </c>
      <c r="B87" s="660" t="s">
        <v>53</v>
      </c>
      <c r="C87" s="1131"/>
      <c r="D87" s="626"/>
      <c r="E87" s="627"/>
      <c r="F87" s="628"/>
    </row>
    <row r="88" spans="1:6" ht="36" x14ac:dyDescent="0.2">
      <c r="A88" s="1509"/>
      <c r="B88" s="646" t="s">
        <v>58</v>
      </c>
      <c r="C88" s="1132">
        <v>776789210</v>
      </c>
      <c r="D88" s="631">
        <v>776789210</v>
      </c>
      <c r="E88" s="632">
        <v>137641665</v>
      </c>
      <c r="F88" s="633">
        <f>E88/D88*100</f>
        <v>17.719307017665706</v>
      </c>
    </row>
    <row r="89" spans="1:6" x14ac:dyDescent="0.2">
      <c r="A89" s="1509"/>
      <c r="B89" s="646" t="s">
        <v>71</v>
      </c>
      <c r="C89" s="1132"/>
      <c r="D89" s="631"/>
      <c r="E89" s="632"/>
      <c r="F89" s="633"/>
    </row>
    <row r="90" spans="1:6" x14ac:dyDescent="0.2">
      <c r="A90" s="1509"/>
      <c r="B90" s="646" t="s">
        <v>51</v>
      </c>
      <c r="C90" s="1132"/>
      <c r="D90" s="631"/>
      <c r="E90" s="632"/>
      <c r="F90" s="633"/>
    </row>
    <row r="91" spans="1:6" x14ac:dyDescent="0.2">
      <c r="A91" s="1509"/>
      <c r="B91" s="646" t="s">
        <v>72</v>
      </c>
      <c r="C91" s="1132"/>
      <c r="D91" s="631"/>
      <c r="E91" s="632"/>
      <c r="F91" s="633"/>
    </row>
    <row r="92" spans="1:6" ht="24" x14ac:dyDescent="0.2">
      <c r="A92" s="1509"/>
      <c r="B92" s="646" t="s">
        <v>69</v>
      </c>
      <c r="C92" s="1132"/>
      <c r="D92" s="631"/>
      <c r="E92" s="632"/>
      <c r="F92" s="633"/>
    </row>
    <row r="93" spans="1:6" ht="24" x14ac:dyDescent="0.2">
      <c r="A93" s="1509"/>
      <c r="B93" s="646" t="s">
        <v>60</v>
      </c>
      <c r="C93" s="1133"/>
      <c r="D93" s="631"/>
      <c r="E93" s="632"/>
      <c r="F93" s="633"/>
    </row>
    <row r="94" spans="1:6" x14ac:dyDescent="0.2">
      <c r="A94" s="1509"/>
      <c r="B94" s="646" t="s">
        <v>67</v>
      </c>
      <c r="C94" s="1132">
        <v>59608565</v>
      </c>
      <c r="D94" s="631">
        <v>59608565</v>
      </c>
      <c r="E94" s="632"/>
      <c r="F94" s="633"/>
    </row>
    <row r="95" spans="1:6" ht="13.5" thickBot="1" x14ac:dyDescent="0.25">
      <c r="A95" s="1510"/>
      <c r="B95" s="649" t="s">
        <v>11</v>
      </c>
      <c r="C95" s="651">
        <f>SUM(C87:C94)</f>
        <v>836397775</v>
      </c>
      <c r="D95" s="1129">
        <f>SUM(D87:D94)</f>
        <v>836397775</v>
      </c>
      <c r="E95" s="1129">
        <f>SUM(E87:E94)</f>
        <v>137641665</v>
      </c>
      <c r="F95" s="638">
        <f>E95/D95%</f>
        <v>16.456483878140396</v>
      </c>
    </row>
    <row r="96" spans="1:6" ht="16.5" thickBot="1" x14ac:dyDescent="0.3">
      <c r="A96" s="619" t="s">
        <v>73</v>
      </c>
      <c r="B96" s="620" t="s">
        <v>151</v>
      </c>
      <c r="C96" s="621" t="s">
        <v>147</v>
      </c>
      <c r="D96" s="622" t="s">
        <v>152</v>
      </c>
      <c r="E96" s="622" t="s">
        <v>149</v>
      </c>
      <c r="F96" s="623" t="s">
        <v>150</v>
      </c>
    </row>
    <row r="97" spans="1:6" ht="24" x14ac:dyDescent="0.2">
      <c r="A97" s="1504" t="s">
        <v>606</v>
      </c>
      <c r="B97" s="624" t="s">
        <v>53</v>
      </c>
      <c r="C97" s="1131"/>
      <c r="D97" s="626"/>
      <c r="E97" s="627"/>
      <c r="F97" s="628"/>
    </row>
    <row r="98" spans="1:6" ht="36" x14ac:dyDescent="0.2">
      <c r="A98" s="1505"/>
      <c r="B98" s="629" t="s">
        <v>58</v>
      </c>
      <c r="C98" s="1132">
        <v>99993938</v>
      </c>
      <c r="D98" s="631">
        <v>114993937</v>
      </c>
      <c r="E98" s="632">
        <v>49537014</v>
      </c>
      <c r="F98" s="633">
        <f>E98/D98%</f>
        <v>43.077935491503347</v>
      </c>
    </row>
    <row r="99" spans="1:6" x14ac:dyDescent="0.2">
      <c r="A99" s="1505"/>
      <c r="B99" s="629" t="s">
        <v>71</v>
      </c>
      <c r="C99" s="1132"/>
      <c r="D99" s="632"/>
      <c r="E99" s="632"/>
      <c r="F99" s="633"/>
    </row>
    <row r="100" spans="1:6" x14ac:dyDescent="0.2">
      <c r="A100" s="1505"/>
      <c r="B100" s="629" t="s">
        <v>51</v>
      </c>
      <c r="C100" s="1132"/>
      <c r="D100" s="631"/>
      <c r="E100" s="632"/>
      <c r="F100" s="633"/>
    </row>
    <row r="101" spans="1:6" x14ac:dyDescent="0.2">
      <c r="A101" s="1505"/>
      <c r="B101" s="629" t="s">
        <v>72</v>
      </c>
      <c r="C101" s="1132"/>
      <c r="D101" s="631"/>
      <c r="E101" s="632"/>
      <c r="F101" s="633"/>
    </row>
    <row r="102" spans="1:6" ht="24" x14ac:dyDescent="0.2">
      <c r="A102" s="1505"/>
      <c r="B102" s="629" t="s">
        <v>69</v>
      </c>
      <c r="C102" s="1132"/>
      <c r="D102" s="631"/>
      <c r="E102" s="631" t="s">
        <v>607</v>
      </c>
      <c r="F102" s="633"/>
    </row>
    <row r="103" spans="1:6" ht="24" x14ac:dyDescent="0.2">
      <c r="A103" s="1505"/>
      <c r="B103" s="629" t="s">
        <v>60</v>
      </c>
      <c r="C103" s="1134"/>
      <c r="D103" s="631"/>
      <c r="E103" s="632"/>
      <c r="F103" s="633"/>
    </row>
    <row r="104" spans="1:6" x14ac:dyDescent="0.2">
      <c r="A104" s="1505"/>
      <c r="B104" s="629" t="s">
        <v>67</v>
      </c>
      <c r="C104" s="1132"/>
      <c r="D104" s="631"/>
      <c r="E104" s="632"/>
      <c r="F104" s="633"/>
    </row>
    <row r="105" spans="1:6" ht="13.5" thickBot="1" x14ac:dyDescent="0.25">
      <c r="A105" s="1506"/>
      <c r="B105" s="635" t="s">
        <v>11</v>
      </c>
      <c r="C105" s="650">
        <f>SUM(C97:C104)</f>
        <v>99993938</v>
      </c>
      <c r="D105" s="644">
        <f>SUM(D97:D104)</f>
        <v>114993937</v>
      </c>
      <c r="E105" s="644">
        <f>SUM(E97:E104)</f>
        <v>49537014</v>
      </c>
      <c r="F105" s="645"/>
    </row>
    <row r="106" spans="1:6" ht="24" x14ac:dyDescent="0.2">
      <c r="A106" s="1504" t="s">
        <v>574</v>
      </c>
      <c r="B106" s="658" t="s">
        <v>53</v>
      </c>
      <c r="C106" s="666"/>
      <c r="D106" s="970"/>
      <c r="E106" s="970"/>
      <c r="F106" s="972"/>
    </row>
    <row r="107" spans="1:6" ht="36" x14ac:dyDescent="0.2">
      <c r="A107" s="1505"/>
      <c r="B107" s="646" t="s">
        <v>58</v>
      </c>
      <c r="C107" s="668"/>
      <c r="D107" s="971"/>
      <c r="E107" s="971"/>
      <c r="F107" s="973"/>
    </row>
    <row r="108" spans="1:6" x14ac:dyDescent="0.2">
      <c r="A108" s="1505"/>
      <c r="B108" s="646" t="s">
        <v>71</v>
      </c>
      <c r="C108" s="668"/>
      <c r="D108" s="971"/>
      <c r="E108" s="971"/>
      <c r="F108" s="973"/>
    </row>
    <row r="109" spans="1:6" x14ac:dyDescent="0.2">
      <c r="A109" s="1505"/>
      <c r="B109" s="646" t="s">
        <v>51</v>
      </c>
      <c r="C109" s="668"/>
      <c r="D109" s="971"/>
      <c r="E109" s="971"/>
      <c r="F109" s="973"/>
    </row>
    <row r="110" spans="1:6" x14ac:dyDescent="0.2">
      <c r="A110" s="1505"/>
      <c r="B110" s="646" t="s">
        <v>72</v>
      </c>
      <c r="C110" s="668"/>
      <c r="D110" s="971"/>
      <c r="E110" s="971"/>
      <c r="F110" s="973"/>
    </row>
    <row r="111" spans="1:6" ht="24" x14ac:dyDescent="0.2">
      <c r="A111" s="1505"/>
      <c r="B111" s="646" t="s">
        <v>69</v>
      </c>
      <c r="C111" s="668"/>
      <c r="D111" s="971"/>
      <c r="E111" s="971"/>
      <c r="F111" s="973"/>
    </row>
    <row r="112" spans="1:6" ht="24" x14ac:dyDescent="0.2">
      <c r="A112" s="1505"/>
      <c r="B112" s="646" t="s">
        <v>60</v>
      </c>
      <c r="C112" s="668"/>
      <c r="D112" s="971"/>
      <c r="E112" s="971"/>
      <c r="F112" s="973"/>
    </row>
    <row r="113" spans="1:6" x14ac:dyDescent="0.2">
      <c r="A113" s="1505"/>
      <c r="B113" s="646" t="s">
        <v>67</v>
      </c>
      <c r="C113" s="668">
        <v>2195461</v>
      </c>
      <c r="D113" s="971">
        <v>2195461</v>
      </c>
      <c r="E113" s="971"/>
      <c r="F113" s="973"/>
    </row>
    <row r="114" spans="1:6" ht="13.5" thickBot="1" x14ac:dyDescent="0.25">
      <c r="A114" s="1506"/>
      <c r="B114" s="649" t="s">
        <v>11</v>
      </c>
      <c r="C114" s="651">
        <f>SUM(C106:C113)</f>
        <v>2195461</v>
      </c>
      <c r="D114" s="651">
        <f>SUM(D106:D113)</f>
        <v>2195461</v>
      </c>
      <c r="E114" s="637"/>
      <c r="F114" s="638"/>
    </row>
    <row r="115" spans="1:6" ht="24" x14ac:dyDescent="0.2">
      <c r="A115" s="1504" t="s">
        <v>537</v>
      </c>
      <c r="B115" s="624" t="s">
        <v>53</v>
      </c>
      <c r="C115" s="835"/>
      <c r="D115" s="1135"/>
      <c r="E115" s="824"/>
      <c r="F115" s="1136"/>
    </row>
    <row r="116" spans="1:6" ht="36" x14ac:dyDescent="0.2">
      <c r="A116" s="1505"/>
      <c r="B116" s="629" t="s">
        <v>58</v>
      </c>
      <c r="C116" s="975">
        <v>1390854858</v>
      </c>
      <c r="D116" s="971">
        <v>1182324220</v>
      </c>
      <c r="E116" s="973">
        <v>415460981</v>
      </c>
      <c r="F116" s="976">
        <f>E116/D116%</f>
        <v>35.139344519221645</v>
      </c>
    </row>
    <row r="117" spans="1:6" x14ac:dyDescent="0.2">
      <c r="A117" s="1505"/>
      <c r="B117" s="629" t="s">
        <v>71</v>
      </c>
      <c r="C117" s="975"/>
      <c r="D117" s="971"/>
      <c r="E117" s="973"/>
      <c r="F117" s="976"/>
    </row>
    <row r="118" spans="1:6" x14ac:dyDescent="0.2">
      <c r="A118" s="1505"/>
      <c r="B118" s="629" t="s">
        <v>51</v>
      </c>
      <c r="C118" s="975"/>
      <c r="D118" s="971">
        <v>14489684</v>
      </c>
      <c r="E118" s="973">
        <v>14489684</v>
      </c>
      <c r="F118" s="976">
        <f>E118/D118%</f>
        <v>100</v>
      </c>
    </row>
    <row r="119" spans="1:6" x14ac:dyDescent="0.2">
      <c r="A119" s="1505"/>
      <c r="B119" s="629" t="s">
        <v>72</v>
      </c>
      <c r="C119" s="975"/>
      <c r="D119" s="971"/>
      <c r="E119" s="973"/>
      <c r="F119" s="976"/>
    </row>
    <row r="120" spans="1:6" ht="24" x14ac:dyDescent="0.2">
      <c r="A120" s="1505"/>
      <c r="B120" s="629" t="s">
        <v>69</v>
      </c>
      <c r="C120" s="975"/>
      <c r="D120" s="971"/>
      <c r="E120" s="973"/>
      <c r="F120" s="976"/>
    </row>
    <row r="121" spans="1:6" ht="24" x14ac:dyDescent="0.2">
      <c r="A121" s="1505"/>
      <c r="B121" s="629" t="s">
        <v>60</v>
      </c>
      <c r="C121" s="975"/>
      <c r="D121" s="971"/>
      <c r="E121" s="973"/>
      <c r="F121" s="976"/>
    </row>
    <row r="122" spans="1:6" ht="13.5" thickBot="1" x14ac:dyDescent="0.25">
      <c r="A122" s="1505"/>
      <c r="B122" s="629" t="s">
        <v>67</v>
      </c>
      <c r="C122" s="977"/>
      <c r="D122" s="978"/>
      <c r="E122" s="979"/>
      <c r="F122" s="980"/>
    </row>
    <row r="123" spans="1:6" ht="13.5" thickBot="1" x14ac:dyDescent="0.25">
      <c r="A123" s="1506"/>
      <c r="B123" s="635" t="s">
        <v>11</v>
      </c>
      <c r="C123" s="835">
        <f>SUM(C115:C122)</f>
        <v>1390854858</v>
      </c>
      <c r="D123" s="835">
        <f t="shared" ref="D123:E123" si="3">SUM(D115:D122)</f>
        <v>1196813904</v>
      </c>
      <c r="E123" s="974">
        <f t="shared" si="3"/>
        <v>429950665</v>
      </c>
      <c r="F123" s="827">
        <f>E123/D123%</f>
        <v>35.924604783000582</v>
      </c>
    </row>
    <row r="124" spans="1:6" ht="24" x14ac:dyDescent="0.2">
      <c r="A124" s="1504" t="s">
        <v>608</v>
      </c>
      <c r="B124" s="658" t="s">
        <v>53</v>
      </c>
      <c r="C124" s="666"/>
      <c r="D124" s="627">
        <v>2984490</v>
      </c>
      <c r="E124" s="627">
        <v>2984490</v>
      </c>
      <c r="F124" s="667">
        <f>SUM(E124/D124*100)</f>
        <v>100</v>
      </c>
    </row>
    <row r="125" spans="1:6" ht="36" x14ac:dyDescent="0.2">
      <c r="A125" s="1505"/>
      <c r="B125" s="646" t="s">
        <v>58</v>
      </c>
      <c r="C125" s="668"/>
      <c r="D125" s="632"/>
      <c r="E125" s="632"/>
      <c r="F125" s="669"/>
    </row>
    <row r="126" spans="1:6" x14ac:dyDescent="0.2">
      <c r="A126" s="1505"/>
      <c r="B126" s="646" t="s">
        <v>71</v>
      </c>
      <c r="C126" s="668"/>
      <c r="D126" s="632"/>
      <c r="E126" s="632"/>
      <c r="F126" s="669"/>
    </row>
    <row r="127" spans="1:6" x14ac:dyDescent="0.2">
      <c r="A127" s="1505"/>
      <c r="B127" s="646" t="s">
        <v>51</v>
      </c>
      <c r="C127" s="668"/>
      <c r="D127" s="632"/>
      <c r="E127" s="632"/>
      <c r="F127" s="669"/>
    </row>
    <row r="128" spans="1:6" x14ac:dyDescent="0.2">
      <c r="A128" s="1505"/>
      <c r="B128" s="646" t="s">
        <v>72</v>
      </c>
      <c r="C128" s="668"/>
      <c r="D128" s="632"/>
      <c r="E128" s="632"/>
      <c r="F128" s="669"/>
    </row>
    <row r="129" spans="1:6" ht="24" x14ac:dyDescent="0.2">
      <c r="A129" s="1505"/>
      <c r="B129" s="646" t="s">
        <v>69</v>
      </c>
      <c r="C129" s="668"/>
      <c r="D129" s="632"/>
      <c r="E129" s="632"/>
      <c r="F129" s="669"/>
    </row>
    <row r="130" spans="1:6" ht="24" x14ac:dyDescent="0.2">
      <c r="A130" s="1505"/>
      <c r="B130" s="646" t="s">
        <v>60</v>
      </c>
      <c r="C130" s="668"/>
      <c r="D130" s="632"/>
      <c r="E130" s="632"/>
      <c r="F130" s="669"/>
    </row>
    <row r="131" spans="1:6" x14ac:dyDescent="0.2">
      <c r="A131" s="1505"/>
      <c r="B131" s="646" t="s">
        <v>67</v>
      </c>
      <c r="C131" s="668"/>
      <c r="D131" s="632"/>
      <c r="E131" s="632"/>
      <c r="F131" s="669"/>
    </row>
    <row r="132" spans="1:6" ht="13.5" thickBot="1" x14ac:dyDescent="0.25">
      <c r="A132" s="1506"/>
      <c r="B132" s="659" t="s">
        <v>11</v>
      </c>
      <c r="C132" s="650">
        <f>SUM(C124:C131)</f>
        <v>0</v>
      </c>
      <c r="D132" s="1130">
        <f>SUM(D124:D131)</f>
        <v>2984490</v>
      </c>
      <c r="E132" s="1130">
        <f>SUM(E124:E131)</f>
        <v>2984490</v>
      </c>
      <c r="F132" s="645">
        <f>SUM(E132/D132*100)</f>
        <v>100</v>
      </c>
    </row>
    <row r="133" spans="1:6" ht="24" x14ac:dyDescent="0.2">
      <c r="A133" s="1504" t="s">
        <v>476</v>
      </c>
      <c r="B133" s="658" t="s">
        <v>53</v>
      </c>
      <c r="C133" s="666">
        <v>1180000</v>
      </c>
      <c r="D133" s="627">
        <v>2869390</v>
      </c>
      <c r="E133" s="627">
        <v>3095836</v>
      </c>
      <c r="F133" s="667">
        <f>SUM(E133/D133*100)</f>
        <v>107.89178187698431</v>
      </c>
    </row>
    <row r="134" spans="1:6" ht="36" x14ac:dyDescent="0.2">
      <c r="A134" s="1505"/>
      <c r="B134" s="646" t="s">
        <v>58</v>
      </c>
      <c r="C134" s="668"/>
      <c r="D134" s="632"/>
      <c r="E134" s="632">
        <v>682319</v>
      </c>
      <c r="F134" s="669"/>
    </row>
    <row r="135" spans="1:6" x14ac:dyDescent="0.2">
      <c r="A135" s="1505"/>
      <c r="B135" s="646" t="s">
        <v>71</v>
      </c>
      <c r="C135" s="668"/>
      <c r="D135" s="632"/>
      <c r="E135" s="632"/>
      <c r="F135" s="669"/>
    </row>
    <row r="136" spans="1:6" x14ac:dyDescent="0.2">
      <c r="A136" s="1505"/>
      <c r="B136" s="646" t="s">
        <v>51</v>
      </c>
      <c r="C136" s="668"/>
      <c r="D136" s="632">
        <v>126769</v>
      </c>
      <c r="E136" s="632">
        <v>68673</v>
      </c>
      <c r="F136" s="669">
        <f t="shared" ref="F136" si="4">SUM(E136/D136*100)</f>
        <v>54.171761235002251</v>
      </c>
    </row>
    <row r="137" spans="1:6" x14ac:dyDescent="0.2">
      <c r="A137" s="1505"/>
      <c r="B137" s="646" t="s">
        <v>72</v>
      </c>
      <c r="C137" s="668"/>
      <c r="D137" s="632"/>
      <c r="E137" s="632"/>
      <c r="F137" s="669"/>
    </row>
    <row r="138" spans="1:6" ht="24" x14ac:dyDescent="0.2">
      <c r="A138" s="1505"/>
      <c r="B138" s="646" t="s">
        <v>69</v>
      </c>
      <c r="C138" s="668"/>
      <c r="D138" s="632"/>
      <c r="E138" s="632"/>
      <c r="F138" s="669"/>
    </row>
    <row r="139" spans="1:6" ht="24" x14ac:dyDescent="0.2">
      <c r="A139" s="1505"/>
      <c r="B139" s="646" t="s">
        <v>60</v>
      </c>
      <c r="C139" s="668"/>
      <c r="D139" s="632"/>
      <c r="E139" s="632"/>
      <c r="F139" s="669"/>
    </row>
    <row r="140" spans="1:6" x14ac:dyDescent="0.2">
      <c r="A140" s="1505"/>
      <c r="B140" s="646" t="s">
        <v>67</v>
      </c>
      <c r="C140" s="668"/>
      <c r="D140" s="632"/>
      <c r="E140" s="632"/>
      <c r="F140" s="669"/>
    </row>
    <row r="141" spans="1:6" ht="13.5" thickBot="1" x14ac:dyDescent="0.25">
      <c r="A141" s="1506"/>
      <c r="B141" s="659" t="s">
        <v>11</v>
      </c>
      <c r="C141" s="650">
        <f>SUM(C133:C140)</f>
        <v>1180000</v>
      </c>
      <c r="D141" s="1130">
        <f>SUM(D133:D140)</f>
        <v>2996159</v>
      </c>
      <c r="E141" s="1130">
        <f>SUM(E133:E140)</f>
        <v>3846828</v>
      </c>
      <c r="F141" s="645">
        <f>SUM(E141/D141*100)</f>
        <v>128.39198453753622</v>
      </c>
    </row>
    <row r="142" spans="1:6" ht="16.5" thickBot="1" x14ac:dyDescent="0.3">
      <c r="A142" s="619" t="s">
        <v>73</v>
      </c>
      <c r="B142" s="620" t="s">
        <v>151</v>
      </c>
      <c r="C142" s="621" t="s">
        <v>147</v>
      </c>
      <c r="D142" s="622" t="s">
        <v>152</v>
      </c>
      <c r="E142" s="622" t="s">
        <v>149</v>
      </c>
      <c r="F142" s="623" t="s">
        <v>150</v>
      </c>
    </row>
    <row r="143" spans="1:6" ht="24" x14ac:dyDescent="0.2">
      <c r="A143" s="1504" t="s">
        <v>106</v>
      </c>
      <c r="B143" s="660" t="s">
        <v>53</v>
      </c>
      <c r="C143" s="1131"/>
      <c r="D143" s="626"/>
      <c r="E143" s="627"/>
      <c r="F143" s="667"/>
    </row>
    <row r="144" spans="1:6" ht="36" x14ac:dyDescent="0.2">
      <c r="A144" s="1505"/>
      <c r="B144" s="646" t="s">
        <v>58</v>
      </c>
      <c r="C144" s="1132"/>
      <c r="D144" s="631"/>
      <c r="E144" s="632"/>
      <c r="F144" s="669"/>
    </row>
    <row r="145" spans="1:6" x14ac:dyDescent="0.2">
      <c r="A145" s="1505"/>
      <c r="B145" s="646" t="s">
        <v>71</v>
      </c>
      <c r="C145" s="1132"/>
      <c r="D145" s="631"/>
      <c r="E145" s="632"/>
      <c r="F145" s="669"/>
    </row>
    <row r="146" spans="1:6" x14ac:dyDescent="0.2">
      <c r="A146" s="1505"/>
      <c r="B146" s="646" t="s">
        <v>51</v>
      </c>
      <c r="C146" s="1132">
        <v>1540000</v>
      </c>
      <c r="D146" s="631">
        <v>1540000</v>
      </c>
      <c r="E146" s="632">
        <v>681485</v>
      </c>
      <c r="F146" s="669">
        <f>SUM(E146/D146*100)</f>
        <v>44.252272727272732</v>
      </c>
    </row>
    <row r="147" spans="1:6" x14ac:dyDescent="0.2">
      <c r="A147" s="1505"/>
      <c r="B147" s="646" t="s">
        <v>72</v>
      </c>
      <c r="C147" s="1132"/>
      <c r="D147" s="631"/>
      <c r="E147" s="632">
        <v>3149</v>
      </c>
      <c r="F147" s="669"/>
    </row>
    <row r="148" spans="1:6" ht="24" x14ac:dyDescent="0.2">
      <c r="A148" s="1505"/>
      <c r="B148" s="646" t="s">
        <v>69</v>
      </c>
      <c r="C148" s="1132"/>
      <c r="D148" s="631"/>
      <c r="E148" s="632"/>
      <c r="F148" s="669"/>
    </row>
    <row r="149" spans="1:6" ht="24" x14ac:dyDescent="0.2">
      <c r="A149" s="1505"/>
      <c r="B149" s="646" t="s">
        <v>60</v>
      </c>
      <c r="C149" s="1134"/>
      <c r="D149" s="631"/>
      <c r="E149" s="632"/>
      <c r="F149" s="669"/>
    </row>
    <row r="150" spans="1:6" x14ac:dyDescent="0.2">
      <c r="A150" s="1505"/>
      <c r="B150" s="646" t="s">
        <v>67</v>
      </c>
      <c r="C150" s="1132"/>
      <c r="D150" s="631">
        <v>201060</v>
      </c>
      <c r="E150" s="632"/>
      <c r="F150" s="669"/>
    </row>
    <row r="151" spans="1:6" ht="13.5" thickBot="1" x14ac:dyDescent="0.25">
      <c r="A151" s="1506"/>
      <c r="B151" s="1137" t="s">
        <v>11</v>
      </c>
      <c r="C151" s="651">
        <f>SUM(C143:C150)</f>
        <v>1540000</v>
      </c>
      <c r="D151" s="637">
        <f>SUM(D143:D150)</f>
        <v>1741060</v>
      </c>
      <c r="E151" s="637">
        <f>SUM(E143:E150)</f>
        <v>684634</v>
      </c>
      <c r="F151" s="638">
        <f>SUM(E151/D151*100)</f>
        <v>39.322826324193308</v>
      </c>
    </row>
    <row r="152" spans="1:6" ht="24.75" thickBot="1" x14ac:dyDescent="0.25">
      <c r="A152" s="1504" t="s">
        <v>107</v>
      </c>
      <c r="B152" s="624" t="s">
        <v>53</v>
      </c>
      <c r="C152" s="653"/>
      <c r="D152" s="654"/>
      <c r="E152" s="655"/>
      <c r="F152" s="825"/>
    </row>
    <row r="153" spans="1:6" ht="36.75" thickBot="1" x14ac:dyDescent="0.25">
      <c r="A153" s="1505"/>
      <c r="B153" s="629" t="s">
        <v>58</v>
      </c>
      <c r="C153" s="630"/>
      <c r="D153" s="631"/>
      <c r="E153" s="632"/>
      <c r="F153" s="667"/>
    </row>
    <row r="154" spans="1:6" ht="13.5" thickBot="1" x14ac:dyDescent="0.25">
      <c r="A154" s="1505"/>
      <c r="B154" s="629" t="s">
        <v>71</v>
      </c>
      <c r="C154" s="630"/>
      <c r="D154" s="631"/>
      <c r="E154" s="632"/>
      <c r="F154" s="667"/>
    </row>
    <row r="155" spans="1:6" ht="13.5" thickBot="1" x14ac:dyDescent="0.25">
      <c r="A155" s="1505"/>
      <c r="B155" s="629" t="s">
        <v>51</v>
      </c>
      <c r="C155" s="630"/>
      <c r="D155" s="631"/>
      <c r="E155" s="632">
        <v>256</v>
      </c>
      <c r="F155" s="667"/>
    </row>
    <row r="156" spans="1:6" ht="13.5" thickBot="1" x14ac:dyDescent="0.25">
      <c r="A156" s="1505"/>
      <c r="B156" s="629" t="s">
        <v>72</v>
      </c>
      <c r="C156" s="630"/>
      <c r="D156" s="631"/>
      <c r="E156" s="632"/>
      <c r="F156" s="667"/>
    </row>
    <row r="157" spans="1:6" ht="24.75" thickBot="1" x14ac:dyDescent="0.25">
      <c r="A157" s="1505"/>
      <c r="B157" s="629" t="s">
        <v>69</v>
      </c>
      <c r="C157" s="630"/>
      <c r="D157" s="631"/>
      <c r="E157" s="632"/>
      <c r="F157" s="667"/>
    </row>
    <row r="158" spans="1:6" ht="24.75" thickBot="1" x14ac:dyDescent="0.25">
      <c r="A158" s="1505"/>
      <c r="B158" s="629" t="s">
        <v>60</v>
      </c>
      <c r="C158" s="634"/>
      <c r="D158" s="631"/>
      <c r="E158" s="632"/>
      <c r="F158" s="667"/>
    </row>
    <row r="159" spans="1:6" x14ac:dyDescent="0.2">
      <c r="A159" s="1505"/>
      <c r="B159" s="629" t="s">
        <v>67</v>
      </c>
      <c r="C159" s="630"/>
      <c r="D159" s="631"/>
      <c r="E159" s="632"/>
      <c r="F159" s="667"/>
    </row>
    <row r="160" spans="1:6" ht="13.5" thickBot="1" x14ac:dyDescent="0.25">
      <c r="A160" s="1506"/>
      <c r="B160" s="635" t="s">
        <v>11</v>
      </c>
      <c r="C160" s="636">
        <f>SUM(C152:C159)</f>
        <v>0</v>
      </c>
      <c r="D160" s="637">
        <f>SUM(D152:D159)</f>
        <v>0</v>
      </c>
      <c r="E160" s="637">
        <f>SUM(E152:E159)</f>
        <v>256</v>
      </c>
      <c r="F160" s="638"/>
    </row>
    <row r="161" spans="1:6" ht="24.75" thickBot="1" x14ac:dyDescent="0.25">
      <c r="A161" s="1504" t="s">
        <v>538</v>
      </c>
      <c r="B161" s="624" t="s">
        <v>53</v>
      </c>
      <c r="C161" s="625">
        <v>62400</v>
      </c>
      <c r="D161" s="626">
        <v>62400</v>
      </c>
      <c r="E161" s="627"/>
      <c r="F161" s="667">
        <f>SUM(E161/D161*100)</f>
        <v>0</v>
      </c>
    </row>
    <row r="162" spans="1:6" ht="36.75" thickBot="1" x14ac:dyDescent="0.25">
      <c r="A162" s="1505"/>
      <c r="B162" s="629" t="s">
        <v>58</v>
      </c>
      <c r="C162" s="630"/>
      <c r="D162" s="631"/>
      <c r="E162" s="632"/>
      <c r="F162" s="667"/>
    </row>
    <row r="163" spans="1:6" ht="13.5" thickBot="1" x14ac:dyDescent="0.25">
      <c r="A163" s="1505"/>
      <c r="B163" s="629" t="s">
        <v>71</v>
      </c>
      <c r="C163" s="630"/>
      <c r="D163" s="631"/>
      <c r="E163" s="632"/>
      <c r="F163" s="667"/>
    </row>
    <row r="164" spans="1:6" ht="13.5" thickBot="1" x14ac:dyDescent="0.25">
      <c r="A164" s="1505"/>
      <c r="B164" s="629" t="s">
        <v>51</v>
      </c>
      <c r="C164" s="630"/>
      <c r="D164" s="631"/>
      <c r="E164" s="632"/>
      <c r="F164" s="667"/>
    </row>
    <row r="165" spans="1:6" ht="13.5" thickBot="1" x14ac:dyDescent="0.25">
      <c r="A165" s="1505"/>
      <c r="B165" s="629" t="s">
        <v>72</v>
      </c>
      <c r="C165" s="630"/>
      <c r="D165" s="631"/>
      <c r="E165" s="632"/>
      <c r="F165" s="667"/>
    </row>
    <row r="166" spans="1:6" ht="24.75" thickBot="1" x14ac:dyDescent="0.25">
      <c r="A166" s="1505"/>
      <c r="B166" s="629" t="s">
        <v>69</v>
      </c>
      <c r="C166" s="630"/>
      <c r="D166" s="631"/>
      <c r="E166" s="632"/>
      <c r="F166" s="667"/>
    </row>
    <row r="167" spans="1:6" ht="24.75" thickBot="1" x14ac:dyDescent="0.25">
      <c r="A167" s="1505"/>
      <c r="B167" s="629" t="s">
        <v>60</v>
      </c>
      <c r="C167" s="634"/>
      <c r="D167" s="631"/>
      <c r="E167" s="632"/>
      <c r="F167" s="667"/>
    </row>
    <row r="168" spans="1:6" x14ac:dyDescent="0.2">
      <c r="A168" s="1505"/>
      <c r="B168" s="629" t="s">
        <v>67</v>
      </c>
      <c r="C168" s="630"/>
      <c r="D168" s="631"/>
      <c r="E168" s="632"/>
      <c r="F168" s="667"/>
    </row>
    <row r="169" spans="1:6" ht="13.5" thickBot="1" x14ac:dyDescent="0.25">
      <c r="A169" s="1506"/>
      <c r="B169" s="635" t="s">
        <v>11</v>
      </c>
      <c r="C169" s="643">
        <f>SUM(C161:C168)</f>
        <v>62400</v>
      </c>
      <c r="D169" s="644">
        <f>SUM(D161:D168)</f>
        <v>62400</v>
      </c>
      <c r="E169" s="644">
        <f>SUM(E161:E168)</f>
        <v>0</v>
      </c>
      <c r="F169" s="645">
        <f>E169/D169*100</f>
        <v>0</v>
      </c>
    </row>
    <row r="170" spans="1:6" ht="24" x14ac:dyDescent="0.2">
      <c r="A170" s="1504" t="s">
        <v>577</v>
      </c>
      <c r="B170" s="658" t="s">
        <v>53</v>
      </c>
      <c r="C170" s="1131"/>
      <c r="D170" s="626"/>
      <c r="E170" s="627"/>
      <c r="F170" s="667"/>
    </row>
    <row r="171" spans="1:6" ht="36" x14ac:dyDescent="0.2">
      <c r="A171" s="1505"/>
      <c r="B171" s="646" t="s">
        <v>58</v>
      </c>
      <c r="C171" s="1132"/>
      <c r="D171" s="631"/>
      <c r="E171" s="632"/>
      <c r="F171" s="669"/>
    </row>
    <row r="172" spans="1:6" x14ac:dyDescent="0.2">
      <c r="A172" s="1505"/>
      <c r="B172" s="646" t="s">
        <v>71</v>
      </c>
      <c r="C172" s="1132"/>
      <c r="D172" s="631"/>
      <c r="E172" s="632"/>
      <c r="F172" s="669"/>
    </row>
    <row r="173" spans="1:6" x14ac:dyDescent="0.2">
      <c r="A173" s="1505"/>
      <c r="B173" s="646" t="s">
        <v>51</v>
      </c>
      <c r="C173" s="1132"/>
      <c r="D173" s="631"/>
      <c r="E173" s="632"/>
      <c r="F173" s="669"/>
    </row>
    <row r="174" spans="1:6" x14ac:dyDescent="0.2">
      <c r="A174" s="1505"/>
      <c r="B174" s="646" t="s">
        <v>72</v>
      </c>
      <c r="C174" s="1132"/>
      <c r="D174" s="631"/>
      <c r="E174" s="632"/>
      <c r="F174" s="669"/>
    </row>
    <row r="175" spans="1:6" ht="24" x14ac:dyDescent="0.2">
      <c r="A175" s="1505"/>
      <c r="B175" s="646" t="s">
        <v>69</v>
      </c>
      <c r="C175" s="1132"/>
      <c r="D175" s="631"/>
      <c r="E175" s="632"/>
      <c r="F175" s="669"/>
    </row>
    <row r="176" spans="1:6" ht="24" x14ac:dyDescent="0.2">
      <c r="A176" s="1505"/>
      <c r="B176" s="646" t="s">
        <v>60</v>
      </c>
      <c r="C176" s="1134"/>
      <c r="D176" s="631"/>
      <c r="E176" s="632"/>
      <c r="F176" s="669"/>
    </row>
    <row r="177" spans="1:6" x14ac:dyDescent="0.2">
      <c r="A177" s="1505"/>
      <c r="B177" s="646" t="s">
        <v>67</v>
      </c>
      <c r="C177" s="1132">
        <v>1800000</v>
      </c>
      <c r="D177" s="631">
        <v>1800000</v>
      </c>
      <c r="E177" s="632"/>
      <c r="F177" s="669"/>
    </row>
    <row r="178" spans="1:6" ht="13.5" thickBot="1" x14ac:dyDescent="0.25">
      <c r="A178" s="1506"/>
      <c r="B178" s="649" t="s">
        <v>11</v>
      </c>
      <c r="C178" s="651">
        <f>SUM(C170:C177)</f>
        <v>1800000</v>
      </c>
      <c r="D178" s="637">
        <f>SUM(D170:D177)</f>
        <v>1800000</v>
      </c>
      <c r="E178" s="637">
        <f>SUM(E170:E177)</f>
        <v>0</v>
      </c>
      <c r="F178" s="638"/>
    </row>
    <row r="179" spans="1:6" ht="24" x14ac:dyDescent="0.2">
      <c r="A179" s="1504" t="s">
        <v>539</v>
      </c>
      <c r="B179" s="658" t="s">
        <v>53</v>
      </c>
      <c r="C179" s="1131"/>
      <c r="D179" s="626">
        <v>481100</v>
      </c>
      <c r="E179" s="627">
        <v>183600</v>
      </c>
      <c r="F179" s="667"/>
    </row>
    <row r="180" spans="1:6" ht="36" x14ac:dyDescent="0.2">
      <c r="A180" s="1505"/>
      <c r="B180" s="646" t="s">
        <v>58</v>
      </c>
      <c r="C180" s="1132"/>
      <c r="D180" s="631"/>
      <c r="E180" s="632"/>
      <c r="F180" s="669"/>
    </row>
    <row r="181" spans="1:6" x14ac:dyDescent="0.2">
      <c r="A181" s="1505"/>
      <c r="B181" s="646" t="s">
        <v>71</v>
      </c>
      <c r="C181" s="1132"/>
      <c r="D181" s="631"/>
      <c r="E181" s="632"/>
      <c r="F181" s="669"/>
    </row>
    <row r="182" spans="1:6" x14ac:dyDescent="0.2">
      <c r="A182" s="1505"/>
      <c r="B182" s="646" t="s">
        <v>51</v>
      </c>
      <c r="C182" s="1132"/>
      <c r="D182" s="631"/>
      <c r="E182" s="632"/>
      <c r="F182" s="669"/>
    </row>
    <row r="183" spans="1:6" x14ac:dyDescent="0.2">
      <c r="A183" s="1505"/>
      <c r="B183" s="646" t="s">
        <v>72</v>
      </c>
      <c r="C183" s="1132"/>
      <c r="D183" s="631"/>
      <c r="E183" s="632"/>
      <c r="F183" s="669"/>
    </row>
    <row r="184" spans="1:6" ht="24" x14ac:dyDescent="0.2">
      <c r="A184" s="1505"/>
      <c r="B184" s="646" t="s">
        <v>69</v>
      </c>
      <c r="C184" s="1132"/>
      <c r="D184" s="631"/>
      <c r="E184" s="632"/>
      <c r="F184" s="669"/>
    </row>
    <row r="185" spans="1:6" ht="24" x14ac:dyDescent="0.2">
      <c r="A185" s="1505"/>
      <c r="B185" s="646" t="s">
        <v>60</v>
      </c>
      <c r="C185" s="1134"/>
      <c r="D185" s="631"/>
      <c r="E185" s="632"/>
      <c r="F185" s="669"/>
    </row>
    <row r="186" spans="1:6" x14ac:dyDescent="0.2">
      <c r="A186" s="1505"/>
      <c r="B186" s="646" t="s">
        <v>67</v>
      </c>
      <c r="C186" s="1132"/>
      <c r="D186" s="631"/>
      <c r="E186" s="632"/>
      <c r="F186" s="669"/>
    </row>
    <row r="187" spans="1:6" ht="13.5" thickBot="1" x14ac:dyDescent="0.25">
      <c r="A187" s="1506"/>
      <c r="B187" s="649" t="s">
        <v>11</v>
      </c>
      <c r="C187" s="651">
        <f>SUM(C179:C186)</f>
        <v>0</v>
      </c>
      <c r="D187" s="637">
        <f>SUM(D179:D186)</f>
        <v>481100</v>
      </c>
      <c r="E187" s="637">
        <f>SUM(E179:E186)</f>
        <v>183600</v>
      </c>
      <c r="F187" s="638"/>
    </row>
    <row r="188" spans="1:6" ht="16.5" thickBot="1" x14ac:dyDescent="0.3">
      <c r="A188" s="619" t="s">
        <v>73</v>
      </c>
      <c r="B188" s="620" t="s">
        <v>151</v>
      </c>
      <c r="C188" s="621" t="s">
        <v>147</v>
      </c>
      <c r="D188" s="622" t="s">
        <v>152</v>
      </c>
      <c r="E188" s="622" t="s">
        <v>149</v>
      </c>
      <c r="F188" s="623" t="s">
        <v>150</v>
      </c>
    </row>
    <row r="189" spans="1:6" ht="24" x14ac:dyDescent="0.2">
      <c r="A189" s="1504" t="s">
        <v>575</v>
      </c>
      <c r="B189" s="642" t="s">
        <v>53</v>
      </c>
      <c r="C189" s="653"/>
      <c r="D189" s="654"/>
      <c r="E189" s="655"/>
      <c r="F189" s="656"/>
    </row>
    <row r="190" spans="1:6" ht="36" x14ac:dyDescent="0.2">
      <c r="A190" s="1505"/>
      <c r="B190" s="629" t="s">
        <v>58</v>
      </c>
      <c r="C190" s="630"/>
      <c r="D190" s="631"/>
      <c r="E190" s="632"/>
      <c r="F190" s="633"/>
    </row>
    <row r="191" spans="1:6" x14ac:dyDescent="0.2">
      <c r="A191" s="1505"/>
      <c r="B191" s="629" t="s">
        <v>71</v>
      </c>
      <c r="C191" s="630"/>
      <c r="D191" s="631"/>
      <c r="E191" s="632"/>
      <c r="F191" s="633"/>
    </row>
    <row r="192" spans="1:6" x14ac:dyDescent="0.2">
      <c r="A192" s="1505"/>
      <c r="B192" s="629" t="s">
        <v>51</v>
      </c>
      <c r="C192" s="630"/>
      <c r="D192" s="631"/>
      <c r="E192" s="632"/>
      <c r="F192" s="633"/>
    </row>
    <row r="193" spans="1:6" x14ac:dyDescent="0.2">
      <c r="A193" s="1505"/>
      <c r="B193" s="629" t="s">
        <v>72</v>
      </c>
      <c r="C193" s="630"/>
      <c r="D193" s="631"/>
      <c r="E193" s="632"/>
      <c r="F193" s="633"/>
    </row>
    <row r="194" spans="1:6" ht="24" x14ac:dyDescent="0.2">
      <c r="A194" s="1505"/>
      <c r="B194" s="629" t="s">
        <v>69</v>
      </c>
      <c r="C194" s="630"/>
      <c r="D194" s="631"/>
      <c r="E194" s="632"/>
      <c r="F194" s="633"/>
    </row>
    <row r="195" spans="1:6" ht="24" x14ac:dyDescent="0.2">
      <c r="A195" s="1505"/>
      <c r="B195" s="629" t="s">
        <v>60</v>
      </c>
      <c r="C195" s="634"/>
      <c r="D195" s="631"/>
      <c r="E195" s="632"/>
      <c r="F195" s="633"/>
    </row>
    <row r="196" spans="1:6" x14ac:dyDescent="0.2">
      <c r="A196" s="1505"/>
      <c r="B196" s="629" t="s">
        <v>67</v>
      </c>
      <c r="C196" s="630">
        <v>500000</v>
      </c>
      <c r="D196" s="631">
        <v>760000</v>
      </c>
      <c r="E196" s="632"/>
      <c r="F196" s="633"/>
    </row>
    <row r="197" spans="1:6" ht="13.5" thickBot="1" x14ac:dyDescent="0.25">
      <c r="A197" s="1506"/>
      <c r="B197" s="635" t="s">
        <v>11</v>
      </c>
      <c r="C197" s="643">
        <f>SUM(C189:C196)</f>
        <v>500000</v>
      </c>
      <c r="D197" s="644">
        <f>SUM(D189:D196)</f>
        <v>760000</v>
      </c>
      <c r="E197" s="644">
        <f>SUM(E189:E196)</f>
        <v>0</v>
      </c>
      <c r="F197" s="645"/>
    </row>
    <row r="198" spans="1:6" ht="24" x14ac:dyDescent="0.2">
      <c r="A198" s="1504" t="s">
        <v>609</v>
      </c>
      <c r="B198" s="629" t="s">
        <v>53</v>
      </c>
      <c r="C198" s="625"/>
      <c r="D198" s="626">
        <v>650000</v>
      </c>
      <c r="E198" s="627">
        <v>650000</v>
      </c>
      <c r="F198" s="628">
        <f>E198/D198*100</f>
        <v>100</v>
      </c>
    </row>
    <row r="199" spans="1:6" ht="36" x14ac:dyDescent="0.2">
      <c r="A199" s="1505"/>
      <c r="B199" s="629" t="s">
        <v>58</v>
      </c>
      <c r="C199" s="630"/>
      <c r="D199" s="631"/>
      <c r="E199" s="632"/>
      <c r="F199" s="633"/>
    </row>
    <row r="200" spans="1:6" x14ac:dyDescent="0.2">
      <c r="A200" s="1505"/>
      <c r="B200" s="629" t="s">
        <v>71</v>
      </c>
      <c r="C200" s="630"/>
      <c r="D200" s="631"/>
      <c r="E200" s="632"/>
      <c r="F200" s="633"/>
    </row>
    <row r="201" spans="1:6" x14ac:dyDescent="0.2">
      <c r="A201" s="1505"/>
      <c r="B201" s="629" t="s">
        <v>51</v>
      </c>
      <c r="C201" s="630"/>
      <c r="D201" s="631"/>
      <c r="E201" s="632"/>
      <c r="F201" s="633"/>
    </row>
    <row r="202" spans="1:6" x14ac:dyDescent="0.2">
      <c r="A202" s="1505"/>
      <c r="B202" s="629" t="s">
        <v>72</v>
      </c>
      <c r="C202" s="630"/>
      <c r="D202" s="631"/>
      <c r="E202" s="632"/>
      <c r="F202" s="633"/>
    </row>
    <row r="203" spans="1:6" ht="24" x14ac:dyDescent="0.2">
      <c r="A203" s="1505"/>
      <c r="B203" s="629" t="s">
        <v>69</v>
      </c>
      <c r="C203" s="630"/>
      <c r="D203" s="631"/>
      <c r="E203" s="632"/>
      <c r="F203" s="633"/>
    </row>
    <row r="204" spans="1:6" ht="24" x14ac:dyDescent="0.2">
      <c r="A204" s="1505"/>
      <c r="B204" s="629" t="s">
        <v>60</v>
      </c>
      <c r="C204" s="634"/>
      <c r="D204" s="631"/>
      <c r="E204" s="632"/>
      <c r="F204" s="633"/>
    </row>
    <row r="205" spans="1:6" x14ac:dyDescent="0.2">
      <c r="A205" s="1505"/>
      <c r="B205" s="629" t="s">
        <v>67</v>
      </c>
      <c r="C205" s="630"/>
      <c r="D205" s="631"/>
      <c r="E205" s="632"/>
      <c r="F205" s="633"/>
    </row>
    <row r="206" spans="1:6" ht="13.5" thickBot="1" x14ac:dyDescent="0.25">
      <c r="A206" s="1506"/>
      <c r="B206" s="635" t="s">
        <v>11</v>
      </c>
      <c r="C206" s="636">
        <f>SUM(C198:C205)</f>
        <v>0</v>
      </c>
      <c r="D206" s="637">
        <f>SUM(D198:D205)</f>
        <v>650000</v>
      </c>
      <c r="E206" s="637">
        <f>SUM(E198:E205)</f>
        <v>650000</v>
      </c>
      <c r="F206" s="638">
        <f>E206/D206*100</f>
        <v>100</v>
      </c>
    </row>
    <row r="207" spans="1:6" ht="24" x14ac:dyDescent="0.2">
      <c r="A207" s="1504" t="s">
        <v>610</v>
      </c>
      <c r="B207" s="629" t="s">
        <v>53</v>
      </c>
      <c r="C207" s="625"/>
      <c r="D207" s="626">
        <v>1769451</v>
      </c>
      <c r="E207" s="627"/>
      <c r="F207" s="628">
        <f>E207/D207*100</f>
        <v>0</v>
      </c>
    </row>
    <row r="208" spans="1:6" ht="36" x14ac:dyDescent="0.2">
      <c r="A208" s="1505"/>
      <c r="B208" s="629" t="s">
        <v>58</v>
      </c>
      <c r="C208" s="630"/>
      <c r="D208" s="631"/>
      <c r="E208" s="632"/>
      <c r="F208" s="633"/>
    </row>
    <row r="209" spans="1:6" x14ac:dyDescent="0.2">
      <c r="A209" s="1505"/>
      <c r="B209" s="629" t="s">
        <v>71</v>
      </c>
      <c r="C209" s="630"/>
      <c r="D209" s="631"/>
      <c r="E209" s="632"/>
      <c r="F209" s="633"/>
    </row>
    <row r="210" spans="1:6" x14ac:dyDescent="0.2">
      <c r="A210" s="1505"/>
      <c r="B210" s="629" t="s">
        <v>51</v>
      </c>
      <c r="C210" s="630"/>
      <c r="D210" s="631"/>
      <c r="E210" s="632"/>
      <c r="F210" s="633"/>
    </row>
    <row r="211" spans="1:6" x14ac:dyDescent="0.2">
      <c r="A211" s="1505"/>
      <c r="B211" s="629" t="s">
        <v>72</v>
      </c>
      <c r="C211" s="630"/>
      <c r="D211" s="631"/>
      <c r="E211" s="632"/>
      <c r="F211" s="633"/>
    </row>
    <row r="212" spans="1:6" ht="24" x14ac:dyDescent="0.2">
      <c r="A212" s="1505"/>
      <c r="B212" s="629" t="s">
        <v>69</v>
      </c>
      <c r="C212" s="630"/>
      <c r="D212" s="631"/>
      <c r="E212" s="632"/>
      <c r="F212" s="633"/>
    </row>
    <row r="213" spans="1:6" ht="24" x14ac:dyDescent="0.2">
      <c r="A213" s="1505"/>
      <c r="B213" s="629" t="s">
        <v>60</v>
      </c>
      <c r="C213" s="634"/>
      <c r="D213" s="631"/>
      <c r="E213" s="632"/>
      <c r="F213" s="633"/>
    </row>
    <row r="214" spans="1:6" x14ac:dyDescent="0.2">
      <c r="A214" s="1505"/>
      <c r="B214" s="629" t="s">
        <v>67</v>
      </c>
      <c r="C214" s="630"/>
      <c r="D214" s="631"/>
      <c r="E214" s="632"/>
      <c r="F214" s="633"/>
    </row>
    <row r="215" spans="1:6" ht="13.5" thickBot="1" x14ac:dyDescent="0.25">
      <c r="A215" s="1506"/>
      <c r="B215" s="635" t="s">
        <v>11</v>
      </c>
      <c r="C215" s="636">
        <f>SUM(C207:C214)</f>
        <v>0</v>
      </c>
      <c r="D215" s="637">
        <f>SUM(D207:D214)</f>
        <v>1769451</v>
      </c>
      <c r="E215" s="637">
        <f>SUM(E207:E214)</f>
        <v>0</v>
      </c>
      <c r="F215" s="638">
        <f>E215/D215*100</f>
        <v>0</v>
      </c>
    </row>
    <row r="216" spans="1:6" ht="24" x14ac:dyDescent="0.2">
      <c r="A216" s="1504" t="s">
        <v>611</v>
      </c>
      <c r="B216" s="624" t="s">
        <v>53</v>
      </c>
      <c r="C216" s="653"/>
      <c r="D216" s="654"/>
      <c r="E216" s="655"/>
      <c r="F216" s="667"/>
    </row>
    <row r="217" spans="1:6" ht="36" x14ac:dyDescent="0.2">
      <c r="A217" s="1505"/>
      <c r="B217" s="629" t="s">
        <v>58</v>
      </c>
      <c r="C217" s="630"/>
      <c r="D217" s="631"/>
      <c r="E217" s="632"/>
      <c r="F217" s="633"/>
    </row>
    <row r="218" spans="1:6" x14ac:dyDescent="0.2">
      <c r="A218" s="1505"/>
      <c r="B218" s="629" t="s">
        <v>71</v>
      </c>
      <c r="C218" s="630"/>
      <c r="D218" s="631"/>
      <c r="E218" s="632"/>
      <c r="F218" s="633"/>
    </row>
    <row r="219" spans="1:6" x14ac:dyDescent="0.2">
      <c r="A219" s="1505"/>
      <c r="B219" s="629" t="s">
        <v>51</v>
      </c>
      <c r="C219" s="630"/>
      <c r="D219" s="631"/>
      <c r="E219" s="632">
        <v>17500</v>
      </c>
      <c r="F219" s="633"/>
    </row>
    <row r="220" spans="1:6" x14ac:dyDescent="0.2">
      <c r="A220" s="1505"/>
      <c r="B220" s="629" t="s">
        <v>72</v>
      </c>
      <c r="C220" s="630"/>
      <c r="D220" s="631"/>
      <c r="E220" s="632"/>
      <c r="F220" s="633"/>
    </row>
    <row r="221" spans="1:6" ht="24" x14ac:dyDescent="0.2">
      <c r="A221" s="1505"/>
      <c r="B221" s="629" t="s">
        <v>69</v>
      </c>
      <c r="C221" s="630"/>
      <c r="D221" s="631"/>
      <c r="E221" s="632"/>
      <c r="F221" s="633"/>
    </row>
    <row r="222" spans="1:6" ht="24" x14ac:dyDescent="0.2">
      <c r="A222" s="1505"/>
      <c r="B222" s="629" t="s">
        <v>60</v>
      </c>
      <c r="C222" s="634"/>
      <c r="D222" s="631"/>
      <c r="E222" s="632"/>
      <c r="F222" s="633"/>
    </row>
    <row r="223" spans="1:6" x14ac:dyDescent="0.2">
      <c r="A223" s="1505"/>
      <c r="B223" s="629" t="s">
        <v>67</v>
      </c>
      <c r="C223" s="630"/>
      <c r="D223" s="631"/>
      <c r="E223" s="632"/>
      <c r="F223" s="633"/>
    </row>
    <row r="224" spans="1:6" ht="13.5" thickBot="1" x14ac:dyDescent="0.25">
      <c r="A224" s="1506"/>
      <c r="B224" s="635" t="s">
        <v>11</v>
      </c>
      <c r="C224" s="636">
        <f>SUM(C216:C223)</f>
        <v>0</v>
      </c>
      <c r="D224" s="637">
        <f>SUM(D216:D223)</f>
        <v>0</v>
      </c>
      <c r="E224" s="637">
        <f>SUM(E216:E223)</f>
        <v>17500</v>
      </c>
      <c r="F224" s="638"/>
    </row>
    <row r="225" spans="1:6" ht="24" x14ac:dyDescent="0.2">
      <c r="A225" s="1504" t="s">
        <v>480</v>
      </c>
      <c r="B225" s="642" t="s">
        <v>53</v>
      </c>
      <c r="C225" s="653"/>
      <c r="D225" s="654"/>
      <c r="E225" s="655"/>
      <c r="F225" s="656"/>
    </row>
    <row r="226" spans="1:6" ht="36" x14ac:dyDescent="0.2">
      <c r="A226" s="1505"/>
      <c r="B226" s="629" t="s">
        <v>58</v>
      </c>
      <c r="C226" s="630"/>
      <c r="D226" s="631"/>
      <c r="E226" s="632"/>
      <c r="F226" s="633"/>
    </row>
    <row r="227" spans="1:6" x14ac:dyDescent="0.2">
      <c r="A227" s="1505"/>
      <c r="B227" s="629" t="s">
        <v>71</v>
      </c>
      <c r="C227" s="630"/>
      <c r="D227" s="631"/>
      <c r="E227" s="632"/>
      <c r="F227" s="633"/>
    </row>
    <row r="228" spans="1:6" x14ac:dyDescent="0.2">
      <c r="A228" s="1505"/>
      <c r="B228" s="629" t="s">
        <v>51</v>
      </c>
      <c r="C228" s="630">
        <v>1540000</v>
      </c>
      <c r="D228" s="631">
        <v>0</v>
      </c>
      <c r="E228" s="632">
        <v>40751</v>
      </c>
      <c r="F228" s="633"/>
    </row>
    <row r="229" spans="1:6" x14ac:dyDescent="0.2">
      <c r="A229" s="1505"/>
      <c r="B229" s="629" t="s">
        <v>72</v>
      </c>
      <c r="C229" s="630"/>
      <c r="D229" s="631"/>
      <c r="E229" s="632"/>
      <c r="F229" s="633"/>
    </row>
    <row r="230" spans="1:6" ht="24" x14ac:dyDescent="0.2">
      <c r="A230" s="1505"/>
      <c r="B230" s="629" t="s">
        <v>69</v>
      </c>
      <c r="C230" s="630"/>
      <c r="D230" s="631"/>
      <c r="E230" s="632"/>
      <c r="F230" s="633"/>
    </row>
    <row r="231" spans="1:6" ht="24" x14ac:dyDescent="0.2">
      <c r="A231" s="1505"/>
      <c r="B231" s="629" t="s">
        <v>60</v>
      </c>
      <c r="C231" s="634"/>
      <c r="D231" s="631"/>
      <c r="E231" s="632"/>
      <c r="F231" s="633"/>
    </row>
    <row r="232" spans="1:6" x14ac:dyDescent="0.2">
      <c r="A232" s="1505"/>
      <c r="B232" s="629" t="s">
        <v>67</v>
      </c>
      <c r="C232" s="630"/>
      <c r="D232" s="631"/>
      <c r="E232" s="632"/>
      <c r="F232" s="633"/>
    </row>
    <row r="233" spans="1:6" ht="13.5" thickBot="1" x14ac:dyDescent="0.25">
      <c r="A233" s="1506"/>
      <c r="B233" s="657" t="s">
        <v>11</v>
      </c>
      <c r="C233" s="643">
        <f>SUM(C225:C232)</f>
        <v>1540000</v>
      </c>
      <c r="D233" s="644">
        <f>SUM(D225:D232)</f>
        <v>0</v>
      </c>
      <c r="E233" s="644">
        <f>SUM(E225:E232)</f>
        <v>40751</v>
      </c>
      <c r="F233" s="645"/>
    </row>
    <row r="234" spans="1:6" ht="16.5" thickBot="1" x14ac:dyDescent="0.3">
      <c r="A234" s="661" t="s">
        <v>73</v>
      </c>
      <c r="B234" s="662" t="s">
        <v>151</v>
      </c>
      <c r="C234" s="663" t="s">
        <v>147</v>
      </c>
      <c r="D234" s="664" t="s">
        <v>152</v>
      </c>
      <c r="E234" s="664" t="s">
        <v>149</v>
      </c>
      <c r="F234" s="665" t="s">
        <v>150</v>
      </c>
    </row>
    <row r="235" spans="1:6" ht="24" x14ac:dyDescent="0.2">
      <c r="A235" s="1504" t="s">
        <v>479</v>
      </c>
      <c r="B235" s="624" t="s">
        <v>53</v>
      </c>
      <c r="C235" s="625"/>
      <c r="D235" s="626"/>
      <c r="E235" s="627"/>
      <c r="F235" s="656"/>
    </row>
    <row r="236" spans="1:6" ht="36" x14ac:dyDescent="0.2">
      <c r="A236" s="1505"/>
      <c r="B236" s="629" t="s">
        <v>58</v>
      </c>
      <c r="C236" s="630"/>
      <c r="D236" s="631"/>
      <c r="E236" s="632"/>
      <c r="F236" s="633"/>
    </row>
    <row r="237" spans="1:6" x14ac:dyDescent="0.2">
      <c r="A237" s="1505"/>
      <c r="B237" s="629" t="s">
        <v>71</v>
      </c>
      <c r="C237" s="630"/>
      <c r="D237" s="631"/>
      <c r="E237" s="632"/>
      <c r="F237" s="633"/>
    </row>
    <row r="238" spans="1:6" x14ac:dyDescent="0.2">
      <c r="A238" s="1505"/>
      <c r="B238" s="629" t="s">
        <v>51</v>
      </c>
      <c r="C238" s="630"/>
      <c r="D238" s="631"/>
      <c r="E238" s="632">
        <v>1</v>
      </c>
      <c r="F238" s="633"/>
    </row>
    <row r="239" spans="1:6" x14ac:dyDescent="0.2">
      <c r="A239" s="1505"/>
      <c r="B239" s="629" t="s">
        <v>72</v>
      </c>
      <c r="C239" s="630"/>
      <c r="D239" s="631"/>
      <c r="E239" s="632"/>
      <c r="F239" s="633"/>
    </row>
    <row r="240" spans="1:6" ht="24" x14ac:dyDescent="0.2">
      <c r="A240" s="1505"/>
      <c r="B240" s="629" t="s">
        <v>69</v>
      </c>
      <c r="C240" s="630">
        <v>204000</v>
      </c>
      <c r="D240" s="631">
        <v>3150000</v>
      </c>
      <c r="E240" s="632">
        <v>4358575</v>
      </c>
      <c r="F240" s="633">
        <f t="shared" ref="F240" si="5">E240/D240*100</f>
        <v>138.36746031746031</v>
      </c>
    </row>
    <row r="241" spans="1:6" ht="24" x14ac:dyDescent="0.2">
      <c r="A241" s="1505"/>
      <c r="B241" s="629" t="s">
        <v>60</v>
      </c>
      <c r="C241" s="634"/>
      <c r="D241" s="631"/>
      <c r="E241" s="632"/>
      <c r="F241" s="633"/>
    </row>
    <row r="242" spans="1:6" ht="13.5" thickBot="1" x14ac:dyDescent="0.25">
      <c r="A242" s="1505"/>
      <c r="B242" s="828" t="s">
        <v>67</v>
      </c>
      <c r="C242" s="830">
        <v>4368000</v>
      </c>
      <c r="D242" s="631">
        <v>4368000</v>
      </c>
      <c r="E242" s="833"/>
      <c r="F242" s="826"/>
    </row>
    <row r="243" spans="1:6" ht="13.5" thickBot="1" x14ac:dyDescent="0.25">
      <c r="A243" s="1506"/>
      <c r="B243" s="829" t="s">
        <v>11</v>
      </c>
      <c r="C243" s="1140">
        <f>SUM(C235:C242)</f>
        <v>4572000</v>
      </c>
      <c r="D243" s="1141">
        <f>SUM(D235:D242)</f>
        <v>7518000</v>
      </c>
      <c r="E243" s="1142">
        <f>SUM(E235:E242)</f>
        <v>4358576</v>
      </c>
      <c r="F243" s="1142">
        <f>E243/D243*100</f>
        <v>57.975206171854218</v>
      </c>
    </row>
    <row r="244" spans="1:6" ht="24" x14ac:dyDescent="0.2">
      <c r="A244" s="1504" t="s">
        <v>612</v>
      </c>
      <c r="B244" s="658" t="s">
        <v>53</v>
      </c>
      <c r="C244" s="1131"/>
      <c r="D244" s="626">
        <v>20417494</v>
      </c>
      <c r="E244" s="627">
        <v>20417494</v>
      </c>
      <c r="F244" s="633">
        <f t="shared" ref="F244:F245" si="6">E244/D244%</f>
        <v>100</v>
      </c>
    </row>
    <row r="245" spans="1:6" ht="36" x14ac:dyDescent="0.2">
      <c r="A245" s="1505"/>
      <c r="B245" s="646" t="s">
        <v>58</v>
      </c>
      <c r="C245" s="1132"/>
      <c r="D245" s="631">
        <v>2783374</v>
      </c>
      <c r="E245" s="632">
        <v>2783374</v>
      </c>
      <c r="F245" s="633">
        <f t="shared" si="6"/>
        <v>100</v>
      </c>
    </row>
    <row r="246" spans="1:6" x14ac:dyDescent="0.2">
      <c r="A246" s="1505"/>
      <c r="B246" s="646" t="s">
        <v>71</v>
      </c>
      <c r="C246" s="1132"/>
      <c r="D246" s="631"/>
      <c r="E246" s="632"/>
      <c r="F246" s="633"/>
    </row>
    <row r="247" spans="1:6" x14ac:dyDescent="0.2">
      <c r="A247" s="1505"/>
      <c r="B247" s="646" t="s">
        <v>51</v>
      </c>
      <c r="C247" s="1132"/>
      <c r="D247" s="631"/>
      <c r="E247" s="632"/>
      <c r="F247" s="633"/>
    </row>
    <row r="248" spans="1:6" x14ac:dyDescent="0.2">
      <c r="A248" s="1505"/>
      <c r="B248" s="646" t="s">
        <v>72</v>
      </c>
      <c r="C248" s="1132"/>
      <c r="D248" s="631"/>
      <c r="E248" s="632"/>
      <c r="F248" s="633"/>
    </row>
    <row r="249" spans="1:6" ht="24" x14ac:dyDescent="0.2">
      <c r="A249" s="1505"/>
      <c r="B249" s="646" t="s">
        <v>69</v>
      </c>
      <c r="C249" s="1132"/>
      <c r="D249" s="631"/>
      <c r="E249" s="632"/>
      <c r="F249" s="633"/>
    </row>
    <row r="250" spans="1:6" ht="24" x14ac:dyDescent="0.2">
      <c r="A250" s="1505"/>
      <c r="B250" s="646" t="s">
        <v>60</v>
      </c>
      <c r="C250" s="1134"/>
      <c r="D250" s="631"/>
      <c r="E250" s="632"/>
      <c r="F250" s="633"/>
    </row>
    <row r="251" spans="1:6" ht="13.5" thickBot="1" x14ac:dyDescent="0.25">
      <c r="A251" s="1505"/>
      <c r="B251" s="1138" t="s">
        <v>67</v>
      </c>
      <c r="C251" s="1132"/>
      <c r="D251" s="631"/>
      <c r="E251" s="632"/>
      <c r="F251" s="633"/>
    </row>
    <row r="252" spans="1:6" ht="13.5" thickBot="1" x14ac:dyDescent="0.25">
      <c r="A252" s="1506"/>
      <c r="B252" s="1139" t="s">
        <v>11</v>
      </c>
      <c r="C252" s="651">
        <f>SUM(C244:C251)</f>
        <v>0</v>
      </c>
      <c r="D252" s="637">
        <f>SUM(D244:D251)</f>
        <v>23200868</v>
      </c>
      <c r="E252" s="637">
        <f>SUM(E244:E251)</f>
        <v>23200868</v>
      </c>
      <c r="F252" s="638">
        <f t="shared" ref="F252:F253" si="7">E252/D252%</f>
        <v>100</v>
      </c>
    </row>
    <row r="253" spans="1:6" ht="24" x14ac:dyDescent="0.2">
      <c r="A253" s="1504" t="s">
        <v>613</v>
      </c>
      <c r="B253" s="658" t="s">
        <v>53</v>
      </c>
      <c r="C253" s="1131"/>
      <c r="D253" s="626">
        <v>608000</v>
      </c>
      <c r="E253" s="627">
        <v>608000</v>
      </c>
      <c r="F253" s="633">
        <f t="shared" si="7"/>
        <v>100</v>
      </c>
    </row>
    <row r="254" spans="1:6" ht="36" x14ac:dyDescent="0.2">
      <c r="A254" s="1505"/>
      <c r="B254" s="646" t="s">
        <v>58</v>
      </c>
      <c r="C254" s="1132"/>
      <c r="D254" s="631"/>
      <c r="E254" s="632"/>
      <c r="F254" s="633"/>
    </row>
    <row r="255" spans="1:6" x14ac:dyDescent="0.2">
      <c r="A255" s="1505"/>
      <c r="B255" s="646" t="s">
        <v>71</v>
      </c>
      <c r="C255" s="1132"/>
      <c r="D255" s="631"/>
      <c r="E255" s="632"/>
      <c r="F255" s="633"/>
    </row>
    <row r="256" spans="1:6" x14ac:dyDescent="0.2">
      <c r="A256" s="1505"/>
      <c r="B256" s="646" t="s">
        <v>51</v>
      </c>
      <c r="C256" s="1132"/>
      <c r="D256" s="631"/>
      <c r="E256" s="632"/>
      <c r="F256" s="633"/>
    </row>
    <row r="257" spans="1:6" x14ac:dyDescent="0.2">
      <c r="A257" s="1505"/>
      <c r="B257" s="646" t="s">
        <v>72</v>
      </c>
      <c r="C257" s="1132"/>
      <c r="D257" s="631"/>
      <c r="E257" s="632"/>
      <c r="F257" s="633"/>
    </row>
    <row r="258" spans="1:6" ht="24" x14ac:dyDescent="0.2">
      <c r="A258" s="1505"/>
      <c r="B258" s="646" t="s">
        <v>69</v>
      </c>
      <c r="C258" s="1132"/>
      <c r="D258" s="631"/>
      <c r="E258" s="632"/>
      <c r="F258" s="633"/>
    </row>
    <row r="259" spans="1:6" ht="24" x14ac:dyDescent="0.2">
      <c r="A259" s="1505"/>
      <c r="B259" s="646" t="s">
        <v>60</v>
      </c>
      <c r="C259" s="1134"/>
      <c r="D259" s="631"/>
      <c r="E259" s="632"/>
      <c r="F259" s="633"/>
    </row>
    <row r="260" spans="1:6" ht="13.5" thickBot="1" x14ac:dyDescent="0.25">
      <c r="A260" s="1505"/>
      <c r="B260" s="1138" t="s">
        <v>67</v>
      </c>
      <c r="C260" s="1132"/>
      <c r="D260" s="631"/>
      <c r="E260" s="632"/>
      <c r="F260" s="633"/>
    </row>
    <row r="261" spans="1:6" ht="13.5" thickBot="1" x14ac:dyDescent="0.25">
      <c r="A261" s="1506"/>
      <c r="B261" s="1139" t="s">
        <v>11</v>
      </c>
      <c r="C261" s="651">
        <f>SUM(C253:C260)</f>
        <v>0</v>
      </c>
      <c r="D261" s="637">
        <f>SUM(D253:D260)</f>
        <v>608000</v>
      </c>
      <c r="E261" s="637">
        <f>SUM(E253:E260)</f>
        <v>608000</v>
      </c>
      <c r="F261" s="638">
        <f t="shared" ref="F261" si="8">E261/D261%</f>
        <v>100</v>
      </c>
    </row>
    <row r="262" spans="1:6" ht="24" x14ac:dyDescent="0.2">
      <c r="A262" s="1504" t="s">
        <v>478</v>
      </c>
      <c r="B262" s="624" t="s">
        <v>53</v>
      </c>
      <c r="C262" s="653"/>
      <c r="D262" s="654"/>
      <c r="E262" s="655"/>
      <c r="F262" s="656"/>
    </row>
    <row r="263" spans="1:6" ht="36" x14ac:dyDescent="0.2">
      <c r="A263" s="1505"/>
      <c r="B263" s="629" t="s">
        <v>58</v>
      </c>
      <c r="C263" s="630"/>
      <c r="D263" s="631"/>
      <c r="E263" s="632"/>
      <c r="F263" s="656"/>
    </row>
    <row r="264" spans="1:6" x14ac:dyDescent="0.2">
      <c r="A264" s="1505"/>
      <c r="B264" s="629" t="s">
        <v>71</v>
      </c>
      <c r="C264" s="630">
        <v>79608000</v>
      </c>
      <c r="D264" s="631">
        <v>79608000</v>
      </c>
      <c r="E264" s="632">
        <v>98637447</v>
      </c>
      <c r="F264" s="656">
        <f t="shared" ref="F264" si="9">E264/D264%</f>
        <v>123.9039380464275</v>
      </c>
    </row>
    <row r="265" spans="1:6" x14ac:dyDescent="0.2">
      <c r="A265" s="1505"/>
      <c r="B265" s="629" t="s">
        <v>51</v>
      </c>
      <c r="C265" s="630"/>
      <c r="D265" s="631"/>
      <c r="E265" s="632"/>
      <c r="F265" s="633"/>
    </row>
    <row r="266" spans="1:6" x14ac:dyDescent="0.2">
      <c r="A266" s="1505"/>
      <c r="B266" s="629" t="s">
        <v>72</v>
      </c>
      <c r="C266" s="630"/>
      <c r="D266" s="631"/>
      <c r="E266" s="632"/>
      <c r="F266" s="633"/>
    </row>
    <row r="267" spans="1:6" ht="24" x14ac:dyDescent="0.2">
      <c r="A267" s="1505"/>
      <c r="B267" s="629" t="s">
        <v>69</v>
      </c>
      <c r="C267" s="630"/>
      <c r="D267" s="631"/>
      <c r="E267" s="632"/>
      <c r="F267" s="633"/>
    </row>
    <row r="268" spans="1:6" ht="24" x14ac:dyDescent="0.2">
      <c r="A268" s="1505"/>
      <c r="B268" s="629" t="s">
        <v>60</v>
      </c>
      <c r="C268" s="634"/>
      <c r="D268" s="631"/>
      <c r="E268" s="632"/>
      <c r="F268" s="633"/>
    </row>
    <row r="269" spans="1:6" ht="13.5" thickBot="1" x14ac:dyDescent="0.25">
      <c r="A269" s="1505"/>
      <c r="B269" s="828" t="s">
        <v>67</v>
      </c>
      <c r="C269" s="830"/>
      <c r="D269" s="631"/>
      <c r="E269" s="833"/>
      <c r="F269" s="826"/>
    </row>
    <row r="270" spans="1:6" ht="13.5" thickBot="1" x14ac:dyDescent="0.25">
      <c r="A270" s="1506"/>
      <c r="B270" s="829" t="s">
        <v>11</v>
      </c>
      <c r="C270" s="831">
        <f>SUM(C262:C269)</f>
        <v>79608000</v>
      </c>
      <c r="D270" s="832">
        <f>SUM(D262:D269)</f>
        <v>79608000</v>
      </c>
      <c r="E270" s="827">
        <f>SUM(E262:E269)</f>
        <v>98637447</v>
      </c>
      <c r="F270" s="827">
        <f>E270/D270*100</f>
        <v>123.9039380464275</v>
      </c>
    </row>
    <row r="271" spans="1:6" ht="24" x14ac:dyDescent="0.2">
      <c r="A271" s="1504" t="s">
        <v>76</v>
      </c>
      <c r="B271" s="624" t="s">
        <v>53</v>
      </c>
      <c r="C271" s="625"/>
      <c r="D271" s="626"/>
      <c r="E271" s="627"/>
      <c r="F271" s="656"/>
    </row>
    <row r="272" spans="1:6" ht="36" x14ac:dyDescent="0.2">
      <c r="A272" s="1505"/>
      <c r="B272" s="629" t="s">
        <v>58</v>
      </c>
      <c r="C272" s="630"/>
      <c r="D272" s="631"/>
      <c r="E272" s="632"/>
      <c r="F272" s="633"/>
    </row>
    <row r="273" spans="1:6" x14ac:dyDescent="0.2">
      <c r="A273" s="1505"/>
      <c r="B273" s="629" t="s">
        <v>71</v>
      </c>
      <c r="C273" s="630"/>
      <c r="D273" s="631"/>
      <c r="E273" s="632"/>
      <c r="F273" s="633"/>
    </row>
    <row r="274" spans="1:6" x14ac:dyDescent="0.2">
      <c r="A274" s="1505"/>
      <c r="B274" s="629" t="s">
        <v>51</v>
      </c>
      <c r="C274" s="630"/>
      <c r="D274" s="631"/>
      <c r="E274" s="632"/>
      <c r="F274" s="633"/>
    </row>
    <row r="275" spans="1:6" x14ac:dyDescent="0.2">
      <c r="A275" s="1505"/>
      <c r="B275" s="629" t="s">
        <v>72</v>
      </c>
      <c r="C275" s="630"/>
      <c r="D275" s="631"/>
      <c r="E275" s="632"/>
      <c r="F275" s="633"/>
    </row>
    <row r="276" spans="1:6" ht="24" x14ac:dyDescent="0.2">
      <c r="A276" s="1505"/>
      <c r="B276" s="629" t="s">
        <v>69</v>
      </c>
      <c r="C276" s="630"/>
      <c r="D276" s="631"/>
      <c r="E276" s="632"/>
      <c r="F276" s="633"/>
    </row>
    <row r="277" spans="1:6" ht="24" x14ac:dyDescent="0.2">
      <c r="A277" s="1505"/>
      <c r="B277" s="629" t="s">
        <v>60</v>
      </c>
      <c r="C277" s="634"/>
      <c r="D277" s="631"/>
      <c r="E277" s="632"/>
      <c r="F277" s="633"/>
    </row>
    <row r="278" spans="1:6" ht="13.5" thickBot="1" x14ac:dyDescent="0.25">
      <c r="A278" s="1505"/>
      <c r="B278" s="828" t="s">
        <v>67</v>
      </c>
      <c r="C278" s="830">
        <v>98439274</v>
      </c>
      <c r="D278" s="834">
        <v>98437274</v>
      </c>
      <c r="E278" s="833">
        <v>48633958</v>
      </c>
      <c r="F278" s="633">
        <f>E278/D278*100</f>
        <v>49.406039017293388</v>
      </c>
    </row>
    <row r="279" spans="1:6" ht="13.5" thickBot="1" x14ac:dyDescent="0.25">
      <c r="A279" s="1506"/>
      <c r="B279" s="829" t="s">
        <v>11</v>
      </c>
      <c r="C279" s="831">
        <f>SUM(C271:C278)</f>
        <v>98439274</v>
      </c>
      <c r="D279" s="827">
        <f>SUM(D271:D278)</f>
        <v>98437274</v>
      </c>
      <c r="E279" s="827">
        <f>SUM(E271:E278)</f>
        <v>48633958</v>
      </c>
      <c r="F279" s="827">
        <f>E279/D279*100</f>
        <v>49.406039017293388</v>
      </c>
    </row>
    <row r="280" spans="1:6" ht="24" x14ac:dyDescent="0.2">
      <c r="A280" s="1504" t="s">
        <v>11</v>
      </c>
      <c r="B280" s="642" t="s">
        <v>53</v>
      </c>
      <c r="C280" s="835">
        <f t="shared" ref="C280:E284" si="10">SUM(C179+C161+C115+C78+C271+C262+C235+C225+C216+C207+C189+C143+C133+C87+C69+C60+C41+C32+C23+C14+C5)+C253+C244+C198+C170+C152+C124+C106+C97+C51</f>
        <v>347079172</v>
      </c>
      <c r="D280" s="835">
        <f t="shared" si="10"/>
        <v>696171142</v>
      </c>
      <c r="E280" s="835">
        <f t="shared" si="10"/>
        <v>696628561</v>
      </c>
      <c r="F280" s="824">
        <f>E280/D280*100</f>
        <v>100.06570496425434</v>
      </c>
    </row>
    <row r="281" spans="1:6" ht="36" x14ac:dyDescent="0.2">
      <c r="A281" s="1505"/>
      <c r="B281" s="629" t="s">
        <v>58</v>
      </c>
      <c r="C281" s="835">
        <f t="shared" si="10"/>
        <v>2267638006</v>
      </c>
      <c r="D281" s="835">
        <f t="shared" si="10"/>
        <v>2095135990</v>
      </c>
      <c r="E281" s="835">
        <f t="shared" si="10"/>
        <v>671697561</v>
      </c>
      <c r="F281" s="824">
        <f t="shared" ref="F281:F288" si="11">E281/D281*100</f>
        <v>32.059855026403319</v>
      </c>
    </row>
    <row r="282" spans="1:6" x14ac:dyDescent="0.2">
      <c r="A282" s="1505"/>
      <c r="B282" s="629" t="s">
        <v>71</v>
      </c>
      <c r="C282" s="835">
        <f t="shared" si="10"/>
        <v>79608000</v>
      </c>
      <c r="D282" s="835">
        <f t="shared" si="10"/>
        <v>79608000</v>
      </c>
      <c r="E282" s="835">
        <f t="shared" si="10"/>
        <v>98637447</v>
      </c>
      <c r="F282" s="824"/>
    </row>
    <row r="283" spans="1:6" x14ac:dyDescent="0.2">
      <c r="A283" s="1505"/>
      <c r="B283" s="629" t="s">
        <v>51</v>
      </c>
      <c r="C283" s="835">
        <f t="shared" si="10"/>
        <v>65037198</v>
      </c>
      <c r="D283" s="835">
        <f t="shared" si="10"/>
        <v>104423127</v>
      </c>
      <c r="E283" s="835">
        <f t="shared" si="10"/>
        <v>93603157</v>
      </c>
      <c r="F283" s="824">
        <f t="shared" si="11"/>
        <v>89.638339407323059</v>
      </c>
    </row>
    <row r="284" spans="1:6" x14ac:dyDescent="0.2">
      <c r="A284" s="1505"/>
      <c r="B284" s="629" t="s">
        <v>72</v>
      </c>
      <c r="C284" s="835">
        <f t="shared" si="10"/>
        <v>25679000</v>
      </c>
      <c r="D284" s="835">
        <f t="shared" si="10"/>
        <v>26688031</v>
      </c>
      <c r="E284" s="835">
        <f t="shared" si="10"/>
        <v>53512325</v>
      </c>
      <c r="F284" s="824">
        <f t="shared" si="11"/>
        <v>200.51057719469827</v>
      </c>
    </row>
    <row r="285" spans="1:6" ht="24" x14ac:dyDescent="0.2">
      <c r="A285" s="1505"/>
      <c r="B285" s="629" t="s">
        <v>69</v>
      </c>
      <c r="C285" s="835">
        <f t="shared" ref="C285:D288" si="12">SUM(C184+C166+C120+C83+C276+C267+C240+C230+C221+C212+C194+C148+C138+C92+C74+C65+C46+C37+C28+C19+C10)+C258+C249+C203+C175+C157+C129+C111+C102+C56</f>
        <v>10999199</v>
      </c>
      <c r="D285" s="835">
        <f t="shared" si="12"/>
        <v>16493197</v>
      </c>
      <c r="E285" s="835">
        <v>13653774</v>
      </c>
      <c r="F285" s="824">
        <f t="shared" si="11"/>
        <v>82.784277663087394</v>
      </c>
    </row>
    <row r="286" spans="1:6" ht="24" x14ac:dyDescent="0.2">
      <c r="A286" s="1505"/>
      <c r="B286" s="629" t="s">
        <v>60</v>
      </c>
      <c r="C286" s="835">
        <f t="shared" si="12"/>
        <v>0</v>
      </c>
      <c r="D286" s="835">
        <f t="shared" si="12"/>
        <v>0</v>
      </c>
      <c r="E286" s="835">
        <f>SUM(E185+E167+E121+E84+E277+E268+E241+E231+E222+E213+E195+E149+E139+E93+E75+E66+E47+E38+E29+E20+E11)+E259+E250+E204+E176+E158+E130+E112+E103+E57</f>
        <v>0</v>
      </c>
      <c r="F286" s="824"/>
    </row>
    <row r="287" spans="1:6" x14ac:dyDescent="0.2">
      <c r="A287" s="1505"/>
      <c r="B287" s="629" t="s">
        <v>67</v>
      </c>
      <c r="C287" s="835">
        <f t="shared" si="12"/>
        <v>302963808</v>
      </c>
      <c r="D287" s="835">
        <f t="shared" si="12"/>
        <v>367069319</v>
      </c>
      <c r="E287" s="835">
        <f>SUM(E186+E168+E122+E85+E278+E269+E242+E232+E223+E214+E196+E150+E140+E94+E76+E67+E48+E39+E30+E21+E12)+E260+E251+E205+E177+E159+E131+E113+E104+E58</f>
        <v>1164274652</v>
      </c>
      <c r="F287" s="824">
        <f t="shared" si="11"/>
        <v>317.18114038291498</v>
      </c>
    </row>
    <row r="288" spans="1:6" ht="13.5" thickBot="1" x14ac:dyDescent="0.25">
      <c r="A288" s="1506"/>
      <c r="B288" s="635" t="s">
        <v>11</v>
      </c>
      <c r="C288" s="835">
        <f t="shared" si="12"/>
        <v>3099004383</v>
      </c>
      <c r="D288" s="835">
        <f t="shared" si="12"/>
        <v>3385588806</v>
      </c>
      <c r="E288" s="835">
        <f>SUM(E187+E169+E123+E86+E279+E270+E243+E233+E224+E215+E197+E151+E141+E95+E77+E68+E49+E40+E31+E22+E13)+E261+E252+E206+E178+E160+E132+E114+E105+E59</f>
        <v>2792007477</v>
      </c>
      <c r="F288" s="824">
        <f t="shared" si="11"/>
        <v>82.467412228323639</v>
      </c>
    </row>
  </sheetData>
  <mergeCells count="32">
    <mergeCell ref="A262:A270"/>
    <mergeCell ref="A225:A233"/>
    <mergeCell ref="A216:A224"/>
    <mergeCell ref="A235:A243"/>
    <mergeCell ref="A244:A252"/>
    <mergeCell ref="A253:A261"/>
    <mergeCell ref="A1:G1"/>
    <mergeCell ref="A5:A13"/>
    <mergeCell ref="A14:A22"/>
    <mergeCell ref="A23:A31"/>
    <mergeCell ref="A32:A40"/>
    <mergeCell ref="A41:A49"/>
    <mergeCell ref="A51:A59"/>
    <mergeCell ref="A60:A68"/>
    <mergeCell ref="A69:A77"/>
    <mergeCell ref="A78:A86"/>
    <mergeCell ref="A271:A279"/>
    <mergeCell ref="A280:A288"/>
    <mergeCell ref="A87:A95"/>
    <mergeCell ref="A97:A105"/>
    <mergeCell ref="A106:A114"/>
    <mergeCell ref="A115:A123"/>
    <mergeCell ref="A124:A132"/>
    <mergeCell ref="A207:A215"/>
    <mergeCell ref="A143:A151"/>
    <mergeCell ref="A152:A160"/>
    <mergeCell ref="A161:A169"/>
    <mergeCell ref="A170:A178"/>
    <mergeCell ref="A179:A187"/>
    <mergeCell ref="A189:A197"/>
    <mergeCell ref="A198:A206"/>
    <mergeCell ref="A133:A141"/>
  </mergeCells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>
    <oddHeader>&amp;R1.1.sz. melléklete
...../2020.(VI.25.) Egyek Önk.</oddHeader>
  </headerFooter>
  <rowBreaks count="5" manualBreakCount="5">
    <brk id="49" max="6" man="1"/>
    <brk id="95" max="6" man="1"/>
    <brk id="141" max="6" man="1"/>
    <brk id="187" max="6" man="1"/>
    <brk id="233" max="6" man="1"/>
  </rowBreaks>
  <colBreaks count="1" manualBreakCount="1">
    <brk id="7" max="158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30" zoomScaleNormal="130" workbookViewId="0">
      <selection activeCell="H7" sqref="H7"/>
    </sheetView>
  </sheetViews>
  <sheetFormatPr defaultColWidth="9.140625" defaultRowHeight="12.75" x14ac:dyDescent="0.2"/>
  <cols>
    <col min="1" max="1" width="9.140625" style="1169"/>
    <col min="2" max="2" width="12.28515625" style="1169" customWidth="1"/>
    <col min="3" max="3" width="54.140625" style="1169" customWidth="1"/>
    <col min="4" max="4" width="21.5703125" style="1171" customWidth="1"/>
    <col min="5" max="5" width="20.140625" style="1171" customWidth="1"/>
    <col min="6" max="7" width="9.140625" style="1169"/>
    <col min="8" max="16384" width="9.140625" style="1170"/>
  </cols>
  <sheetData>
    <row r="1" spans="1:7" ht="15.75" x14ac:dyDescent="0.25">
      <c r="B1" s="1688" t="s">
        <v>506</v>
      </c>
      <c r="C1" s="1688"/>
      <c r="D1" s="1688"/>
      <c r="E1" s="1688"/>
    </row>
    <row r="2" spans="1:7" ht="24" customHeight="1" x14ac:dyDescent="0.2">
      <c r="A2" s="1689" t="s">
        <v>633</v>
      </c>
      <c r="B2" s="1689"/>
      <c r="C2" s="1689"/>
      <c r="D2" s="1689"/>
      <c r="E2" s="1689"/>
    </row>
    <row r="3" spans="1:7" ht="15.75" x14ac:dyDescent="0.25">
      <c r="C3" s="1690" t="s">
        <v>248</v>
      </c>
      <c r="D3" s="1690"/>
    </row>
    <row r="4" spans="1:7" ht="13.5" thickBot="1" x14ac:dyDescent="0.25">
      <c r="E4" s="1488" t="s">
        <v>184</v>
      </c>
      <c r="F4" s="1172"/>
    </row>
    <row r="5" spans="1:7" ht="27.75" thickBot="1" x14ac:dyDescent="0.3">
      <c r="B5" s="1173" t="s">
        <v>23</v>
      </c>
      <c r="C5" s="1174" t="s">
        <v>22</v>
      </c>
      <c r="D5" s="1175" t="s">
        <v>249</v>
      </c>
      <c r="E5" s="1176" t="s">
        <v>250</v>
      </c>
    </row>
    <row r="6" spans="1:7" ht="13.5" thickBot="1" x14ac:dyDescent="0.25">
      <c r="B6" s="1177">
        <v>1</v>
      </c>
      <c r="C6" s="1178">
        <v>2</v>
      </c>
      <c r="D6" s="1179">
        <v>3</v>
      </c>
      <c r="E6" s="1180">
        <v>4</v>
      </c>
    </row>
    <row r="7" spans="1:7" x14ac:dyDescent="0.2">
      <c r="B7" s="1181" t="s">
        <v>0</v>
      </c>
      <c r="C7" s="1182" t="s">
        <v>251</v>
      </c>
      <c r="D7" s="1183"/>
      <c r="E7" s="1184"/>
    </row>
    <row r="8" spans="1:7" x14ac:dyDescent="0.2">
      <c r="B8" s="1185" t="s">
        <v>4</v>
      </c>
      <c r="C8" s="1186" t="s">
        <v>252</v>
      </c>
      <c r="D8" s="1187"/>
      <c r="E8" s="1188"/>
    </row>
    <row r="9" spans="1:7" x14ac:dyDescent="0.2">
      <c r="B9" s="1185" t="s">
        <v>8</v>
      </c>
      <c r="C9" s="1186" t="s">
        <v>253</v>
      </c>
      <c r="D9" s="1187"/>
      <c r="E9" s="1188"/>
    </row>
    <row r="10" spans="1:7" x14ac:dyDescent="0.2">
      <c r="B10" s="1185" t="s">
        <v>2</v>
      </c>
      <c r="C10" s="1186" t="s">
        <v>254</v>
      </c>
      <c r="D10" s="1187"/>
      <c r="E10" s="1188"/>
    </row>
    <row r="11" spans="1:7" x14ac:dyDescent="0.2">
      <c r="B11" s="1185" t="s">
        <v>5</v>
      </c>
      <c r="C11" s="1186" t="s">
        <v>255</v>
      </c>
      <c r="D11" s="1187"/>
      <c r="E11" s="1188"/>
    </row>
    <row r="12" spans="1:7" x14ac:dyDescent="0.2">
      <c r="B12" s="1185" t="s">
        <v>3</v>
      </c>
      <c r="C12" s="1186" t="s">
        <v>255</v>
      </c>
      <c r="D12" s="1187"/>
      <c r="E12" s="1188"/>
    </row>
    <row r="13" spans="1:7" x14ac:dyDescent="0.2">
      <c r="B13" s="1185" t="s">
        <v>10</v>
      </c>
      <c r="C13" s="1186" t="s">
        <v>255</v>
      </c>
      <c r="D13" s="1187"/>
      <c r="E13" s="1188"/>
    </row>
    <row r="14" spans="1:7" ht="25.5" x14ac:dyDescent="0.2">
      <c r="B14" s="1189" t="s">
        <v>1</v>
      </c>
      <c r="C14" s="1190" t="s">
        <v>256</v>
      </c>
      <c r="D14" s="1191">
        <v>1011025</v>
      </c>
      <c r="E14" s="1192">
        <v>1011025</v>
      </c>
    </row>
    <row r="15" spans="1:7" s="1197" customFormat="1" ht="25.5" x14ac:dyDescent="0.2">
      <c r="A15" s="1193"/>
      <c r="B15" s="1194" t="s">
        <v>7</v>
      </c>
      <c r="C15" s="1195" t="s">
        <v>580</v>
      </c>
      <c r="D15" s="1196">
        <f>SUM(D16:D17)</f>
        <v>1132900</v>
      </c>
      <c r="E15" s="1196">
        <f>SUM(E16:E17)</f>
        <v>1132900</v>
      </c>
      <c r="F15" s="1193"/>
      <c r="G15" s="1193"/>
    </row>
    <row r="16" spans="1:7" s="1197" customFormat="1" ht="38.25" x14ac:dyDescent="0.2">
      <c r="A16" s="1193"/>
      <c r="B16" s="1206" t="s">
        <v>578</v>
      </c>
      <c r="C16" s="1207" t="s">
        <v>581</v>
      </c>
      <c r="D16" s="1208">
        <v>732000</v>
      </c>
      <c r="E16" s="1209">
        <v>732000</v>
      </c>
      <c r="F16" s="1193"/>
      <c r="G16" s="1193"/>
    </row>
    <row r="17" spans="1:7" s="1197" customFormat="1" ht="38.25" x14ac:dyDescent="0.2">
      <c r="A17" s="1193"/>
      <c r="B17" s="1206" t="s">
        <v>579</v>
      </c>
      <c r="C17" s="1207" t="s">
        <v>582</v>
      </c>
      <c r="D17" s="1208">
        <v>400900</v>
      </c>
      <c r="E17" s="1209">
        <v>400900</v>
      </c>
      <c r="F17" s="1193"/>
      <c r="G17" s="1193"/>
    </row>
    <row r="18" spans="1:7" x14ac:dyDescent="0.2">
      <c r="B18" s="1185" t="s">
        <v>15</v>
      </c>
      <c r="C18" s="1186" t="s">
        <v>257</v>
      </c>
      <c r="D18" s="1187"/>
      <c r="E18" s="1188"/>
    </row>
    <row r="19" spans="1:7" x14ac:dyDescent="0.2">
      <c r="B19" s="1185" t="s">
        <v>13</v>
      </c>
      <c r="C19" s="1186" t="s">
        <v>258</v>
      </c>
      <c r="D19" s="1187"/>
      <c r="E19" s="1188"/>
    </row>
    <row r="20" spans="1:7" s="1198" customFormat="1" x14ac:dyDescent="0.2">
      <c r="A20" s="1169"/>
      <c r="B20" s="1185" t="s">
        <v>25</v>
      </c>
      <c r="C20" s="1186" t="s">
        <v>259</v>
      </c>
      <c r="D20" s="1187"/>
      <c r="E20" s="1188"/>
      <c r="F20" s="1169"/>
      <c r="G20" s="1169"/>
    </row>
    <row r="21" spans="1:7" x14ac:dyDescent="0.2">
      <c r="B21" s="1185" t="s">
        <v>28</v>
      </c>
      <c r="C21" s="1199" t="s">
        <v>260</v>
      </c>
      <c r="D21" s="1191">
        <f>SUM(D22:D25)</f>
        <v>2537493</v>
      </c>
      <c r="E21" s="1191">
        <f>SUM(E22:E25)</f>
        <v>2537493</v>
      </c>
    </row>
    <row r="22" spans="1:7" ht="29.25" customHeight="1" x14ac:dyDescent="0.2">
      <c r="B22" s="1185" t="s">
        <v>261</v>
      </c>
      <c r="C22" s="1200" t="s">
        <v>262</v>
      </c>
      <c r="D22" s="1187">
        <v>14000</v>
      </c>
      <c r="E22" s="1188">
        <v>14000</v>
      </c>
    </row>
    <row r="23" spans="1:7" ht="25.5" x14ac:dyDescent="0.2">
      <c r="B23" s="1185" t="s">
        <v>261</v>
      </c>
      <c r="C23" s="1200" t="s">
        <v>263</v>
      </c>
      <c r="D23" s="1187">
        <v>2451658</v>
      </c>
      <c r="E23" s="1188">
        <v>2451658</v>
      </c>
    </row>
    <row r="24" spans="1:7" ht="38.25" x14ac:dyDescent="0.2">
      <c r="B24" s="1185" t="s">
        <v>264</v>
      </c>
      <c r="C24" s="1200" t="s">
        <v>265</v>
      </c>
      <c r="D24" s="1187">
        <v>31500</v>
      </c>
      <c r="E24" s="1188">
        <v>31500</v>
      </c>
    </row>
    <row r="25" spans="1:7" ht="38.25" x14ac:dyDescent="0.2">
      <c r="B25" s="1185" t="s">
        <v>26</v>
      </c>
      <c r="C25" s="1200" t="s">
        <v>266</v>
      </c>
      <c r="D25" s="1187">
        <v>40335</v>
      </c>
      <c r="E25" s="1188">
        <v>40335</v>
      </c>
    </row>
    <row r="26" spans="1:7" x14ac:dyDescent="0.2">
      <c r="B26" s="1189" t="s">
        <v>27</v>
      </c>
      <c r="C26" s="1199" t="s">
        <v>267</v>
      </c>
      <c r="D26" s="1191">
        <f>SUM(D27:D28)</f>
        <v>4322880</v>
      </c>
      <c r="E26" s="1191">
        <f>SUM(E27:E28)</f>
        <v>4322880</v>
      </c>
    </row>
    <row r="27" spans="1:7" ht="25.5" x14ac:dyDescent="0.2">
      <c r="B27" s="1185" t="s">
        <v>29</v>
      </c>
      <c r="C27" s="1200" t="s">
        <v>634</v>
      </c>
      <c r="D27" s="1187">
        <v>3785040</v>
      </c>
      <c r="E27" s="1187">
        <v>3785040</v>
      </c>
    </row>
    <row r="28" spans="1:7" ht="25.5" x14ac:dyDescent="0.2">
      <c r="B28" s="1185" t="s">
        <v>30</v>
      </c>
      <c r="C28" s="1200" t="s">
        <v>634</v>
      </c>
      <c r="D28" s="1187">
        <v>537840</v>
      </c>
      <c r="E28" s="1187">
        <v>537840</v>
      </c>
    </row>
    <row r="29" spans="1:7" x14ac:dyDescent="0.2">
      <c r="B29" s="1185" t="s">
        <v>31</v>
      </c>
      <c r="C29" s="1186"/>
      <c r="D29" s="1187"/>
      <c r="E29" s="1188"/>
    </row>
    <row r="30" spans="1:7" x14ac:dyDescent="0.2">
      <c r="B30" s="1185" t="s">
        <v>12</v>
      </c>
      <c r="C30" s="1186"/>
      <c r="D30" s="1187"/>
      <c r="E30" s="1188"/>
    </row>
    <row r="31" spans="1:7" x14ac:dyDescent="0.2">
      <c r="B31" s="1185" t="s">
        <v>32</v>
      </c>
      <c r="C31" s="1186"/>
      <c r="D31" s="1187"/>
      <c r="E31" s="1188"/>
    </row>
    <row r="32" spans="1:7" x14ac:dyDescent="0.2">
      <c r="B32" s="1185" t="s">
        <v>33</v>
      </c>
      <c r="C32" s="1186"/>
      <c r="D32" s="1187"/>
      <c r="E32" s="1188"/>
    </row>
    <row r="33" spans="1:7" s="1205" customFormat="1" ht="14.25" thickBot="1" x14ac:dyDescent="0.3">
      <c r="A33" s="1201"/>
      <c r="B33" s="1202" t="s">
        <v>34</v>
      </c>
      <c r="C33" s="1203" t="s">
        <v>11</v>
      </c>
      <c r="D33" s="1204">
        <f>D7+D8+D9+D10+D12+D11+D13+D14+D15+D21+D26</f>
        <v>9004298</v>
      </c>
      <c r="E33" s="1204">
        <f>E7+E8+E9+E10+E12+E11+E13+E14+E15+E21+E26</f>
        <v>9004298</v>
      </c>
      <c r="F33" s="1201"/>
      <c r="G33" s="1201"/>
    </row>
    <row r="34" spans="1:7" x14ac:dyDescent="0.2">
      <c r="B34" s="1169" t="s">
        <v>268</v>
      </c>
      <c r="C34" s="1169" t="s">
        <v>269</v>
      </c>
    </row>
  </sheetData>
  <mergeCells count="3">
    <mergeCell ref="B1:E1"/>
    <mergeCell ref="A2:E2"/>
    <mergeCell ref="C3:D3"/>
  </mergeCells>
  <pageMargins left="0.39" right="0.75" top="1" bottom="1" header="0.5" footer="0.5"/>
  <pageSetup paperSize="9" scale="78" orientation="portrait" r:id="rId1"/>
  <headerFooter alignWithMargins="0">
    <oddHeader xml:space="preserve">&amp;R12. sz. melléklet
..../2020.(VI.25.) Egyek Önk. r.
</oddHeader>
  </headerFooter>
  <colBreaks count="1" manualBreakCount="1">
    <brk id="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6"/>
  <sheetViews>
    <sheetView zoomScale="130" zoomScaleNormal="130" workbookViewId="0">
      <selection activeCell="J8" sqref="J8"/>
    </sheetView>
  </sheetViews>
  <sheetFormatPr defaultColWidth="9.140625" defaultRowHeight="12.75" x14ac:dyDescent="0.2"/>
  <cols>
    <col min="1" max="1" width="9.140625" style="400"/>
    <col min="2" max="2" width="13.7109375" style="400" bestFit="1" customWidth="1"/>
    <col min="3" max="3" width="11.5703125" style="400" customWidth="1"/>
    <col min="4" max="4" width="10.140625" style="400" customWidth="1"/>
    <col min="5" max="5" width="9.140625" style="400"/>
    <col min="6" max="6" width="10.28515625" style="400" customWidth="1"/>
    <col min="7" max="7" width="14.7109375" style="400" customWidth="1"/>
    <col min="8" max="8" width="13.85546875" style="400" bestFit="1" customWidth="1"/>
    <col min="9" max="9" width="15.28515625" style="400" customWidth="1"/>
    <col min="10" max="11" width="9.140625" style="400"/>
    <col min="12" max="12" width="17.42578125" style="528" bestFit="1" customWidth="1"/>
    <col min="13" max="16384" width="9.140625" style="400"/>
  </cols>
  <sheetData>
    <row r="4" spans="2:12" ht="15.75" x14ac:dyDescent="0.25">
      <c r="B4" s="1715" t="s">
        <v>507</v>
      </c>
      <c r="C4" s="1715"/>
      <c r="D4" s="1715"/>
      <c r="E4" s="1715"/>
      <c r="F4" s="1715"/>
      <c r="G4" s="1715"/>
      <c r="H4" s="1715"/>
    </row>
    <row r="6" spans="2:12" x14ac:dyDescent="0.2">
      <c r="B6" s="1716" t="s">
        <v>662</v>
      </c>
      <c r="C6" s="1716"/>
      <c r="D6" s="1716"/>
      <c r="E6" s="1716"/>
      <c r="F6" s="1716"/>
      <c r="G6" s="1716"/>
      <c r="H6" s="1716"/>
    </row>
    <row r="8" spans="2:12" ht="13.5" thickBot="1" x14ac:dyDescent="0.25">
      <c r="G8" s="1717" t="s">
        <v>184</v>
      </c>
      <c r="H8" s="1717"/>
    </row>
    <row r="9" spans="2:12" ht="13.5" thickBot="1" x14ac:dyDescent="0.25">
      <c r="B9" s="1718" t="s">
        <v>180</v>
      </c>
      <c r="C9" s="1718"/>
      <c r="D9" s="1718"/>
      <c r="E9" s="1718"/>
      <c r="F9" s="1718"/>
      <c r="G9" s="1719" t="s">
        <v>270</v>
      </c>
      <c r="H9" s="1719"/>
    </row>
    <row r="10" spans="2:12" x14ac:dyDescent="0.2">
      <c r="B10" s="1713" t="s">
        <v>663</v>
      </c>
      <c r="C10" s="1713"/>
      <c r="D10" s="1713"/>
      <c r="E10" s="1713"/>
      <c r="F10" s="1713"/>
      <c r="G10" s="1714">
        <f>SUM(G11+G12)</f>
        <v>217144473</v>
      </c>
      <c r="H10" s="1714"/>
    </row>
    <row r="11" spans="2:12" x14ac:dyDescent="0.2">
      <c r="B11" s="1691" t="s">
        <v>271</v>
      </c>
      <c r="C11" s="1691"/>
      <c r="D11" s="1691"/>
      <c r="E11" s="1691"/>
      <c r="F11" s="1691"/>
      <c r="G11" s="1697">
        <v>217144473</v>
      </c>
      <c r="H11" s="1697"/>
    </row>
    <row r="12" spans="2:12" x14ac:dyDescent="0.2">
      <c r="B12" s="1691" t="s">
        <v>272</v>
      </c>
      <c r="C12" s="1691"/>
      <c r="D12" s="1691"/>
      <c r="E12" s="1691"/>
      <c r="F12" s="1691"/>
      <c r="G12" s="1697">
        <v>0</v>
      </c>
      <c r="H12" s="1697"/>
    </row>
    <row r="13" spans="2:12" x14ac:dyDescent="0.2">
      <c r="B13" s="1708" t="s">
        <v>664</v>
      </c>
      <c r="C13" s="1709"/>
      <c r="D13" s="1709"/>
      <c r="E13" s="1709"/>
      <c r="F13" s="1710"/>
      <c r="G13" s="1711"/>
      <c r="H13" s="1712"/>
    </row>
    <row r="14" spans="2:12" s="402" customFormat="1" x14ac:dyDescent="0.2">
      <c r="B14" s="1698" t="s">
        <v>273</v>
      </c>
      <c r="C14" s="1698"/>
      <c r="D14" s="1698"/>
      <c r="E14" s="1698"/>
      <c r="F14" s="1698"/>
      <c r="G14" s="1699">
        <f>SUM(G16+G15+G17)</f>
        <v>1959309224</v>
      </c>
      <c r="H14" s="1699"/>
      <c r="I14" s="401"/>
      <c r="L14" s="1320"/>
    </row>
    <row r="15" spans="2:12" x14ac:dyDescent="0.2">
      <c r="B15" s="1691" t="s">
        <v>534</v>
      </c>
      <c r="C15" s="1691"/>
      <c r="D15" s="1691"/>
      <c r="E15" s="1691"/>
      <c r="F15" s="1691"/>
      <c r="G15" s="1697">
        <v>1931745127</v>
      </c>
      <c r="H15" s="1697"/>
      <c r="I15" s="401"/>
    </row>
    <row r="16" spans="2:12" x14ac:dyDescent="0.2">
      <c r="B16" s="1700" t="s">
        <v>533</v>
      </c>
      <c r="C16" s="1701"/>
      <c r="D16" s="1701"/>
      <c r="E16" s="1701"/>
      <c r="F16" s="1702"/>
      <c r="G16" s="1692">
        <v>27564097</v>
      </c>
      <c r="H16" s="1692"/>
      <c r="I16" s="401"/>
    </row>
    <row r="17" spans="2:12" x14ac:dyDescent="0.2">
      <c r="B17" s="1703"/>
      <c r="C17" s="1704"/>
      <c r="D17" s="1704"/>
      <c r="E17" s="1704"/>
      <c r="F17" s="1705"/>
      <c r="G17" s="1706"/>
      <c r="H17" s="1707"/>
      <c r="I17" s="401"/>
    </row>
    <row r="18" spans="2:12" s="402" customFormat="1" x14ac:dyDescent="0.2">
      <c r="B18" s="1698" t="s">
        <v>274</v>
      </c>
      <c r="C18" s="1698"/>
      <c r="D18" s="1698"/>
      <c r="E18" s="1698"/>
      <c r="F18" s="1698"/>
      <c r="G18" s="1699">
        <f>SUM(G19:H20)</f>
        <v>2032978182</v>
      </c>
      <c r="H18" s="1699"/>
      <c r="I18" s="401"/>
      <c r="L18" s="1320"/>
    </row>
    <row r="19" spans="2:12" x14ac:dyDescent="0.2">
      <c r="B19" s="1691" t="s">
        <v>363</v>
      </c>
      <c r="C19" s="1691"/>
      <c r="D19" s="1691"/>
      <c r="E19" s="1691"/>
      <c r="F19" s="1691"/>
      <c r="G19" s="1697">
        <v>2022491956</v>
      </c>
      <c r="H19" s="1697"/>
      <c r="I19" s="401"/>
    </row>
    <row r="20" spans="2:12" x14ac:dyDescent="0.2">
      <c r="B20" s="1691" t="s">
        <v>532</v>
      </c>
      <c r="C20" s="1691"/>
      <c r="D20" s="1691"/>
      <c r="E20" s="1691"/>
      <c r="F20" s="1691"/>
      <c r="G20" s="1692">
        <v>10486226</v>
      </c>
      <c r="H20" s="1692"/>
    </row>
    <row r="21" spans="2:12" x14ac:dyDescent="0.2">
      <c r="B21" s="1698" t="s">
        <v>275</v>
      </c>
      <c r="C21" s="1698"/>
      <c r="D21" s="1698"/>
      <c r="E21" s="1698"/>
      <c r="F21" s="1698"/>
      <c r="G21" s="1699">
        <f>SUM(G10+G13+G14-G18)</f>
        <v>143475515</v>
      </c>
      <c r="H21" s="1699"/>
      <c r="I21" s="403"/>
    </row>
    <row r="22" spans="2:12" x14ac:dyDescent="0.2">
      <c r="B22" s="1691" t="s">
        <v>271</v>
      </c>
      <c r="C22" s="1691"/>
      <c r="D22" s="1691"/>
      <c r="E22" s="1691"/>
      <c r="F22" s="1691"/>
      <c r="G22" s="1692">
        <v>143475515</v>
      </c>
      <c r="H22" s="1692"/>
      <c r="I22" s="403"/>
    </row>
    <row r="23" spans="2:12" s="402" customFormat="1" ht="13.5" thickBot="1" x14ac:dyDescent="0.25">
      <c r="B23" s="1693" t="s">
        <v>272</v>
      </c>
      <c r="C23" s="1694"/>
      <c r="D23" s="1694"/>
      <c r="E23" s="1694"/>
      <c r="F23" s="1695"/>
      <c r="G23" s="1696">
        <v>0</v>
      </c>
      <c r="H23" s="1696"/>
      <c r="L23" s="1320"/>
    </row>
    <row r="24" spans="2:12" x14ac:dyDescent="0.2">
      <c r="G24" s="403"/>
      <c r="I24" s="403"/>
    </row>
    <row r="25" spans="2:12" x14ac:dyDescent="0.2">
      <c r="G25" s="403"/>
    </row>
    <row r="27" spans="2:12" x14ac:dyDescent="0.2">
      <c r="G27" s="403"/>
    </row>
    <row r="28" spans="2:12" x14ac:dyDescent="0.2">
      <c r="G28" s="528"/>
    </row>
    <row r="29" spans="2:12" x14ac:dyDescent="0.2">
      <c r="G29" s="403"/>
    </row>
    <row r="34" spans="1:8" x14ac:dyDescent="0.2">
      <c r="A34" s="821"/>
      <c r="B34" s="820"/>
      <c r="C34" s="820"/>
      <c r="E34" s="821"/>
      <c r="F34" s="528"/>
      <c r="G34" s="528"/>
      <c r="H34" s="528"/>
    </row>
    <row r="35" spans="1:8" x14ac:dyDescent="0.2">
      <c r="B35" s="820"/>
      <c r="C35" s="820"/>
      <c r="F35" s="528"/>
      <c r="G35" s="528"/>
      <c r="H35" s="528"/>
    </row>
    <row r="36" spans="1:8" x14ac:dyDescent="0.2">
      <c r="B36" s="820"/>
      <c r="C36" s="820"/>
      <c r="F36" s="528"/>
      <c r="G36" s="528"/>
      <c r="H36" s="823"/>
    </row>
    <row r="37" spans="1:8" x14ac:dyDescent="0.2">
      <c r="B37" s="820"/>
      <c r="C37" s="820"/>
      <c r="F37" s="528"/>
      <c r="G37" s="528"/>
      <c r="H37" s="528"/>
    </row>
    <row r="38" spans="1:8" x14ac:dyDescent="0.2">
      <c r="B38" s="820"/>
      <c r="C38" s="820"/>
      <c r="E38" s="821"/>
      <c r="F38" s="528"/>
      <c r="G38" s="528"/>
      <c r="H38" s="528"/>
    </row>
    <row r="39" spans="1:8" x14ac:dyDescent="0.2">
      <c r="B39" s="820"/>
      <c r="C39" s="820"/>
      <c r="F39" s="528"/>
      <c r="G39" s="528"/>
      <c r="H39" s="528"/>
    </row>
    <row r="40" spans="1:8" x14ac:dyDescent="0.2">
      <c r="B40" s="820"/>
      <c r="C40" s="820"/>
      <c r="F40" s="528"/>
      <c r="G40" s="528"/>
      <c r="H40" s="528"/>
    </row>
    <row r="41" spans="1:8" x14ac:dyDescent="0.2">
      <c r="B41" s="820"/>
      <c r="C41" s="820"/>
      <c r="F41" s="528"/>
      <c r="G41" s="528"/>
      <c r="H41" s="528"/>
    </row>
    <row r="42" spans="1:8" x14ac:dyDescent="0.2">
      <c r="B42" s="820"/>
      <c r="C42" s="820"/>
      <c r="F42" s="528"/>
      <c r="G42" s="528"/>
      <c r="H42" s="823">
        <f>SUM(G42-F42)</f>
        <v>0</v>
      </c>
    </row>
    <row r="43" spans="1:8" x14ac:dyDescent="0.2">
      <c r="B43" s="820"/>
      <c r="C43" s="820"/>
      <c r="F43" s="528"/>
      <c r="G43" s="528"/>
      <c r="H43" s="528"/>
    </row>
    <row r="44" spans="1:8" x14ac:dyDescent="0.2">
      <c r="B44" s="820"/>
      <c r="C44" s="820"/>
      <c r="D44" s="822"/>
      <c r="F44" s="528"/>
      <c r="G44" s="528"/>
      <c r="H44" s="528"/>
    </row>
    <row r="45" spans="1:8" x14ac:dyDescent="0.2">
      <c r="D45" s="821"/>
      <c r="F45" s="528"/>
      <c r="G45" s="528"/>
      <c r="H45" s="528"/>
    </row>
    <row r="46" spans="1:8" x14ac:dyDescent="0.2">
      <c r="A46" s="821"/>
      <c r="B46" s="528"/>
      <c r="C46" s="528"/>
      <c r="D46" s="822"/>
      <c r="F46" s="528"/>
      <c r="G46" s="528"/>
      <c r="H46" s="528"/>
    </row>
    <row r="47" spans="1:8" x14ac:dyDescent="0.2">
      <c r="B47" s="528"/>
      <c r="C47" s="528"/>
      <c r="D47" s="823"/>
      <c r="F47" s="528"/>
      <c r="G47" s="528"/>
      <c r="H47" s="528"/>
    </row>
    <row r="48" spans="1:8" x14ac:dyDescent="0.2">
      <c r="B48" s="528"/>
      <c r="C48" s="528"/>
      <c r="D48" s="823"/>
      <c r="F48" s="528"/>
      <c r="G48" s="528"/>
      <c r="H48" s="528"/>
    </row>
    <row r="49" spans="2:8" x14ac:dyDescent="0.2">
      <c r="B49" s="528"/>
      <c r="C49" s="528"/>
      <c r="D49" s="823"/>
      <c r="F49" s="528"/>
      <c r="G49" s="528"/>
      <c r="H49" s="528"/>
    </row>
    <row r="50" spans="2:8" x14ac:dyDescent="0.2">
      <c r="B50" s="528"/>
      <c r="C50" s="528"/>
      <c r="D50" s="823"/>
    </row>
    <row r="51" spans="2:8" x14ac:dyDescent="0.2">
      <c r="B51" s="528"/>
      <c r="C51" s="528"/>
      <c r="D51" s="823"/>
    </row>
    <row r="52" spans="2:8" x14ac:dyDescent="0.2">
      <c r="B52" s="528"/>
      <c r="C52" s="528"/>
      <c r="D52" s="823"/>
    </row>
    <row r="53" spans="2:8" x14ac:dyDescent="0.2">
      <c r="B53" s="528"/>
      <c r="C53" s="528"/>
      <c r="D53" s="823"/>
    </row>
    <row r="54" spans="2:8" x14ac:dyDescent="0.2">
      <c r="B54" s="528"/>
      <c r="C54" s="528"/>
      <c r="D54" s="823"/>
    </row>
    <row r="55" spans="2:8" x14ac:dyDescent="0.2">
      <c r="B55" s="528"/>
      <c r="C55" s="528"/>
      <c r="D55" s="823"/>
    </row>
    <row r="56" spans="2:8" x14ac:dyDescent="0.2">
      <c r="B56" s="528"/>
      <c r="C56" s="528"/>
      <c r="D56" s="823"/>
    </row>
  </sheetData>
  <mergeCells count="33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1:F11"/>
    <mergeCell ref="B13:F13"/>
    <mergeCell ref="G13:H13"/>
    <mergeCell ref="G11:H11"/>
    <mergeCell ref="B12:F12"/>
    <mergeCell ref="G12:H12"/>
    <mergeCell ref="B14:F14"/>
    <mergeCell ref="G14:H14"/>
    <mergeCell ref="B16:F16"/>
    <mergeCell ref="G16:H16"/>
    <mergeCell ref="B18:F18"/>
    <mergeCell ref="G18:H18"/>
    <mergeCell ref="B17:F17"/>
    <mergeCell ref="G17:H17"/>
    <mergeCell ref="B22:F22"/>
    <mergeCell ref="G22:H22"/>
    <mergeCell ref="B23:F23"/>
    <mergeCell ref="G23:H23"/>
    <mergeCell ref="B19:F19"/>
    <mergeCell ref="G19:H19"/>
    <mergeCell ref="B20:F20"/>
    <mergeCell ref="G20:H20"/>
    <mergeCell ref="B21:F21"/>
    <mergeCell ref="G21:H21"/>
  </mergeCells>
  <pageMargins left="0.75" right="0.75" top="1" bottom="1" header="0.5" footer="0.51180555555555562"/>
  <pageSetup paperSize="9" scale="95" firstPageNumber="0" orientation="portrait" r:id="rId1"/>
  <headerFooter alignWithMargins="0">
    <oddHeader>&amp;R13.1.sz. melléklet
.../2017.(...) Egyek Önk. r.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7"/>
  <sheetViews>
    <sheetView zoomScale="150" zoomScaleNormal="150" workbookViewId="0">
      <selection activeCell="K2" sqref="K2"/>
    </sheetView>
  </sheetViews>
  <sheetFormatPr defaultColWidth="9.140625" defaultRowHeight="12.75" x14ac:dyDescent="0.2"/>
  <cols>
    <col min="1" max="6" width="9.140625" style="400"/>
    <col min="7" max="7" width="12.5703125" style="400" customWidth="1"/>
    <col min="8" max="8" width="9.140625" style="400"/>
    <col min="9" max="9" width="15.28515625" style="400" customWidth="1"/>
    <col min="10" max="16384" width="9.140625" style="400"/>
  </cols>
  <sheetData>
    <row r="4" spans="2:9" ht="15.75" x14ac:dyDescent="0.25">
      <c r="B4" s="1715" t="s">
        <v>508</v>
      </c>
      <c r="C4" s="1715"/>
      <c r="D4" s="1715"/>
      <c r="E4" s="1715"/>
      <c r="F4" s="1715"/>
      <c r="G4" s="1715"/>
      <c r="H4" s="1715"/>
    </row>
    <row r="6" spans="2:9" x14ac:dyDescent="0.2">
      <c r="B6" s="1725" t="s">
        <v>667</v>
      </c>
      <c r="C6" s="1725"/>
      <c r="D6" s="1725"/>
      <c r="E6" s="1725"/>
      <c r="F6" s="1725"/>
      <c r="G6" s="1725"/>
      <c r="H6" s="1725"/>
    </row>
    <row r="8" spans="2:9" ht="13.5" thickBot="1" x14ac:dyDescent="0.25">
      <c r="G8" s="1717" t="s">
        <v>184</v>
      </c>
      <c r="H8" s="1717"/>
    </row>
    <row r="9" spans="2:9" ht="13.5" thickBot="1" x14ac:dyDescent="0.25">
      <c r="B9" s="1718" t="s">
        <v>180</v>
      </c>
      <c r="C9" s="1718"/>
      <c r="D9" s="1718"/>
      <c r="E9" s="1718"/>
      <c r="F9" s="1718"/>
      <c r="G9" s="1719" t="s">
        <v>270</v>
      </c>
      <c r="H9" s="1719"/>
    </row>
    <row r="10" spans="2:9" x14ac:dyDescent="0.2">
      <c r="B10" s="1713" t="s">
        <v>663</v>
      </c>
      <c r="C10" s="1713"/>
      <c r="D10" s="1713"/>
      <c r="E10" s="1713"/>
      <c r="F10" s="1713"/>
      <c r="G10" s="1714">
        <f>SUM(G11+G12)</f>
        <v>0</v>
      </c>
      <c r="H10" s="1714"/>
    </row>
    <row r="11" spans="2:9" x14ac:dyDescent="0.2">
      <c r="B11" s="1691" t="s">
        <v>271</v>
      </c>
      <c r="C11" s="1691"/>
      <c r="D11" s="1691"/>
      <c r="E11" s="1691"/>
      <c r="F11" s="1691"/>
      <c r="G11" s="1692">
        <v>0</v>
      </c>
      <c r="H11" s="1692"/>
    </row>
    <row r="12" spans="2:9" x14ac:dyDescent="0.2">
      <c r="B12" s="1691" t="s">
        <v>272</v>
      </c>
      <c r="C12" s="1691"/>
      <c r="D12" s="1691"/>
      <c r="E12" s="1691"/>
      <c r="F12" s="1691"/>
      <c r="G12" s="1692">
        <v>0</v>
      </c>
      <c r="H12" s="1692"/>
    </row>
    <row r="13" spans="2:9" x14ac:dyDescent="0.2">
      <c r="B13" s="1722" t="s">
        <v>666</v>
      </c>
      <c r="C13" s="1723"/>
      <c r="D13" s="1723"/>
      <c r="E13" s="1723"/>
      <c r="F13" s="1724"/>
      <c r="G13" s="1711"/>
      <c r="H13" s="1712"/>
    </row>
    <row r="14" spans="2:9" s="402" customFormat="1" x14ac:dyDescent="0.2">
      <c r="B14" s="1698" t="s">
        <v>273</v>
      </c>
      <c r="C14" s="1698"/>
      <c r="D14" s="1698"/>
      <c r="E14" s="1698"/>
      <c r="F14" s="1698"/>
      <c r="G14" s="1699">
        <f>SUM(G15+G16)</f>
        <v>146021836</v>
      </c>
      <c r="H14" s="1699"/>
      <c r="I14" s="401"/>
    </row>
    <row r="15" spans="2:9" ht="31.5" customHeight="1" x14ac:dyDescent="0.2">
      <c r="B15" s="1700" t="s">
        <v>523</v>
      </c>
      <c r="C15" s="1701"/>
      <c r="D15" s="1701"/>
      <c r="E15" s="1701"/>
      <c r="F15" s="1702"/>
      <c r="G15" s="1721">
        <v>146021836</v>
      </c>
      <c r="H15" s="1721"/>
      <c r="I15" s="401"/>
    </row>
    <row r="16" spans="2:9" x14ac:dyDescent="0.2">
      <c r="B16" s="1691"/>
      <c r="C16" s="1691"/>
      <c r="D16" s="1691"/>
      <c r="E16" s="1691"/>
      <c r="F16" s="1691"/>
      <c r="G16" s="1692"/>
      <c r="H16" s="1692"/>
      <c r="I16" s="401"/>
    </row>
    <row r="17" spans="2:9" s="402" customFormat="1" x14ac:dyDescent="0.2">
      <c r="B17" s="1698" t="s">
        <v>274</v>
      </c>
      <c r="C17" s="1698"/>
      <c r="D17" s="1698"/>
      <c r="E17" s="1698"/>
      <c r="F17" s="1698"/>
      <c r="G17" s="1699">
        <f>SUM(G19+G18)</f>
        <v>146007835</v>
      </c>
      <c r="H17" s="1699"/>
      <c r="I17" s="401"/>
    </row>
    <row r="18" spans="2:9" x14ac:dyDescent="0.2">
      <c r="B18" s="1691" t="s">
        <v>364</v>
      </c>
      <c r="C18" s="1691"/>
      <c r="D18" s="1691"/>
      <c r="E18" s="1691"/>
      <c r="F18" s="1691"/>
      <c r="G18" s="1721">
        <v>145707435</v>
      </c>
      <c r="H18" s="1721"/>
      <c r="I18" s="401"/>
    </row>
    <row r="19" spans="2:9" x14ac:dyDescent="0.2">
      <c r="B19" s="1700" t="s">
        <v>532</v>
      </c>
      <c r="C19" s="1701"/>
      <c r="D19" s="1701"/>
      <c r="E19" s="1701"/>
      <c r="F19" s="1702"/>
      <c r="G19" s="1721">
        <v>300400</v>
      </c>
      <c r="H19" s="1721"/>
      <c r="I19" s="403"/>
    </row>
    <row r="20" spans="2:9" ht="19.899999999999999" customHeight="1" x14ac:dyDescent="0.2">
      <c r="B20" s="1698" t="s">
        <v>275</v>
      </c>
      <c r="C20" s="1698"/>
      <c r="D20" s="1698"/>
      <c r="E20" s="1698"/>
      <c r="F20" s="1698"/>
      <c r="G20" s="1699">
        <f>G10+G14-G17</f>
        <v>14001</v>
      </c>
      <c r="H20" s="1699"/>
      <c r="I20" s="403"/>
    </row>
    <row r="21" spans="2:9" x14ac:dyDescent="0.2">
      <c r="B21" s="1691" t="s">
        <v>271</v>
      </c>
      <c r="C21" s="1691"/>
      <c r="D21" s="1691"/>
      <c r="E21" s="1691"/>
      <c r="F21" s="1691"/>
      <c r="G21" s="1692">
        <v>14001</v>
      </c>
      <c r="H21" s="1692"/>
    </row>
    <row r="22" spans="2:9" s="402" customFormat="1" ht="13.5" thickBot="1" x14ac:dyDescent="0.25">
      <c r="B22" s="1720" t="s">
        <v>272</v>
      </c>
      <c r="C22" s="1720"/>
      <c r="D22" s="1720"/>
      <c r="E22" s="1720"/>
      <c r="F22" s="1720"/>
      <c r="G22" s="1696"/>
      <c r="H22" s="1696"/>
    </row>
    <row r="25" spans="2:9" x14ac:dyDescent="0.2">
      <c r="G25" s="403"/>
    </row>
    <row r="26" spans="2:9" x14ac:dyDescent="0.2">
      <c r="G26" s="528"/>
    </row>
    <row r="27" spans="2:9" x14ac:dyDescent="0.2">
      <c r="G27" s="403"/>
    </row>
  </sheetData>
  <mergeCells count="31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6:F16"/>
    <mergeCell ref="G16:H16"/>
    <mergeCell ref="B11:F11"/>
    <mergeCell ref="G11:H11"/>
    <mergeCell ref="B12:F12"/>
    <mergeCell ref="G12:H12"/>
    <mergeCell ref="B14:F14"/>
    <mergeCell ref="G14:H14"/>
    <mergeCell ref="B13:F13"/>
    <mergeCell ref="G13:H13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&amp;R13.2. sz. melléklet
.../2020.(VI.25.) Egyek Önk. r.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zoomScale="150" zoomScaleNormal="150" workbookViewId="0">
      <selection activeCell="I10" sqref="I10"/>
    </sheetView>
  </sheetViews>
  <sheetFormatPr defaultColWidth="9.140625" defaultRowHeight="12.75" x14ac:dyDescent="0.2"/>
  <cols>
    <col min="1" max="6" width="9.140625" style="400"/>
    <col min="7" max="7" width="12.5703125" style="400" customWidth="1"/>
    <col min="8" max="8" width="14.28515625" style="400" customWidth="1"/>
    <col min="9" max="9" width="15.28515625" style="400" customWidth="1"/>
    <col min="10" max="10" width="9.140625" style="400"/>
    <col min="11" max="11" width="10.28515625" style="400" bestFit="1" customWidth="1"/>
    <col min="12" max="16384" width="9.140625" style="400"/>
  </cols>
  <sheetData>
    <row r="4" spans="2:9" ht="15.75" x14ac:dyDescent="0.25">
      <c r="B4" s="1715" t="s">
        <v>509</v>
      </c>
      <c r="C4" s="1715"/>
      <c r="D4" s="1715"/>
      <c r="E4" s="1715"/>
      <c r="F4" s="1715"/>
      <c r="G4" s="1715"/>
      <c r="H4" s="1715"/>
    </row>
    <row r="5" spans="2:9" ht="15.75" x14ac:dyDescent="0.25">
      <c r="B5" s="1715"/>
      <c r="C5" s="1715"/>
      <c r="D5" s="1715"/>
      <c r="E5" s="1715"/>
      <c r="F5" s="1715"/>
      <c r="G5" s="1715"/>
      <c r="H5" s="1715"/>
    </row>
    <row r="7" spans="2:9" x14ac:dyDescent="0.2">
      <c r="B7" s="1725" t="s">
        <v>665</v>
      </c>
      <c r="C7" s="1725"/>
      <c r="D7" s="1725"/>
      <c r="E7" s="1725"/>
      <c r="F7" s="1725"/>
      <c r="G7" s="1725"/>
      <c r="H7" s="1725"/>
    </row>
    <row r="8" spans="2:9" x14ac:dyDescent="0.2">
      <c r="C8" s="404"/>
      <c r="D8" s="404"/>
      <c r="E8" s="404"/>
      <c r="F8" s="404"/>
      <c r="G8" s="404"/>
    </row>
    <row r="9" spans="2:9" x14ac:dyDescent="0.2">
      <c r="C9" s="405"/>
      <c r="D9" s="405"/>
      <c r="E9" s="405"/>
      <c r="F9" s="405"/>
      <c r="G9" s="405"/>
    </row>
    <row r="10" spans="2:9" ht="13.5" thickBot="1" x14ac:dyDescent="0.25">
      <c r="G10" s="1717" t="s">
        <v>184</v>
      </c>
      <c r="H10" s="1717"/>
    </row>
    <row r="11" spans="2:9" ht="13.5" thickBot="1" x14ac:dyDescent="0.25">
      <c r="B11" s="1718" t="s">
        <v>180</v>
      </c>
      <c r="C11" s="1718"/>
      <c r="D11" s="1718"/>
      <c r="E11" s="1718"/>
      <c r="F11" s="1718"/>
      <c r="G11" s="1719" t="s">
        <v>270</v>
      </c>
      <c r="H11" s="1719"/>
    </row>
    <row r="12" spans="2:9" x14ac:dyDescent="0.2">
      <c r="B12" s="1713" t="s">
        <v>663</v>
      </c>
      <c r="C12" s="1713"/>
      <c r="D12" s="1713"/>
      <c r="E12" s="1713"/>
      <c r="F12" s="1713"/>
      <c r="G12" s="1714">
        <f>SUM(G13+G14)</f>
        <v>0</v>
      </c>
      <c r="H12" s="1714"/>
    </row>
    <row r="13" spans="2:9" x14ac:dyDescent="0.2">
      <c r="B13" s="1691" t="s">
        <v>271</v>
      </c>
      <c r="C13" s="1691"/>
      <c r="D13" s="1691"/>
      <c r="E13" s="1691"/>
      <c r="F13" s="1691"/>
      <c r="G13" s="1692">
        <v>0</v>
      </c>
      <c r="H13" s="1692"/>
    </row>
    <row r="14" spans="2:9" x14ac:dyDescent="0.2">
      <c r="B14" s="1691" t="s">
        <v>272</v>
      </c>
      <c r="C14" s="1691"/>
      <c r="D14" s="1691"/>
      <c r="E14" s="1691"/>
      <c r="F14" s="1691"/>
      <c r="G14" s="1692">
        <v>0</v>
      </c>
      <c r="H14" s="1692"/>
    </row>
    <row r="15" spans="2:9" x14ac:dyDescent="0.2">
      <c r="B15" s="1722" t="s">
        <v>666</v>
      </c>
      <c r="C15" s="1723"/>
      <c r="D15" s="1723"/>
      <c r="E15" s="1723"/>
      <c r="F15" s="1724"/>
      <c r="G15" s="1706">
        <v>25707</v>
      </c>
      <c r="H15" s="1707"/>
    </row>
    <row r="16" spans="2:9" s="402" customFormat="1" x14ac:dyDescent="0.2">
      <c r="B16" s="1729" t="s">
        <v>273</v>
      </c>
      <c r="C16" s="1730"/>
      <c r="D16" s="1730"/>
      <c r="E16" s="1730"/>
      <c r="F16" s="1731"/>
      <c r="G16" s="1699">
        <f>SUM(G17+G18)</f>
        <v>11235697</v>
      </c>
      <c r="H16" s="1699"/>
      <c r="I16" s="401"/>
    </row>
    <row r="17" spans="2:11" ht="27" customHeight="1" x14ac:dyDescent="0.2">
      <c r="B17" s="1736" t="s">
        <v>523</v>
      </c>
      <c r="C17" s="1737"/>
      <c r="D17" s="1737"/>
      <c r="E17" s="1737"/>
      <c r="F17" s="1738"/>
      <c r="G17" s="1692">
        <f>713902+10438395</f>
        <v>11152297</v>
      </c>
      <c r="H17" s="1692"/>
      <c r="I17" s="401"/>
      <c r="K17" s="403"/>
    </row>
    <row r="18" spans="2:11" ht="13.15" customHeight="1" x14ac:dyDescent="0.2">
      <c r="B18" s="1736" t="s">
        <v>531</v>
      </c>
      <c r="C18" s="1737"/>
      <c r="D18" s="1737"/>
      <c r="E18" s="1737"/>
      <c r="F18" s="1738"/>
      <c r="G18" s="1706">
        <v>83400</v>
      </c>
      <c r="H18" s="1707"/>
      <c r="I18" s="401"/>
    </row>
    <row r="19" spans="2:11" s="402" customFormat="1" x14ac:dyDescent="0.2">
      <c r="B19" s="1729" t="s">
        <v>274</v>
      </c>
      <c r="C19" s="1730"/>
      <c r="D19" s="1730"/>
      <c r="E19" s="1730"/>
      <c r="F19" s="1731"/>
      <c r="G19" s="1699">
        <f>SUM(G20:H21)</f>
        <v>11148976</v>
      </c>
      <c r="H19" s="1699"/>
      <c r="I19" s="401"/>
    </row>
    <row r="20" spans="2:11" x14ac:dyDescent="0.2">
      <c r="B20" s="1703" t="s">
        <v>363</v>
      </c>
      <c r="C20" s="1704"/>
      <c r="D20" s="1704"/>
      <c r="E20" s="1704"/>
      <c r="F20" s="1705"/>
      <c r="G20" s="1697">
        <v>11061183</v>
      </c>
      <c r="H20" s="1697"/>
      <c r="I20" s="401"/>
    </row>
    <row r="21" spans="2:11" x14ac:dyDescent="0.2">
      <c r="B21" s="1703" t="s">
        <v>532</v>
      </c>
      <c r="C21" s="1704"/>
      <c r="D21" s="1704"/>
      <c r="E21" s="1704"/>
      <c r="F21" s="1705"/>
      <c r="G21" s="1734">
        <v>87793</v>
      </c>
      <c r="H21" s="1735"/>
      <c r="I21" s="401"/>
    </row>
    <row r="22" spans="2:11" x14ac:dyDescent="0.2">
      <c r="B22" s="1729" t="s">
        <v>275</v>
      </c>
      <c r="C22" s="1730"/>
      <c r="D22" s="1730"/>
      <c r="E22" s="1730"/>
      <c r="F22" s="1731"/>
      <c r="G22" s="1732">
        <f>G12+G16-G19</f>
        <v>86721</v>
      </c>
      <c r="H22" s="1733"/>
      <c r="I22" s="403"/>
    </row>
    <row r="23" spans="2:11" x14ac:dyDescent="0.2">
      <c r="B23" s="1703" t="s">
        <v>271</v>
      </c>
      <c r="C23" s="1704"/>
      <c r="D23" s="1704"/>
      <c r="E23" s="1704"/>
      <c r="F23" s="1705"/>
      <c r="G23" s="1692">
        <v>86721</v>
      </c>
      <c r="H23" s="1692"/>
    </row>
    <row r="24" spans="2:11" s="402" customFormat="1" ht="13.5" thickBot="1" x14ac:dyDescent="0.25">
      <c r="B24" s="1726" t="s">
        <v>272</v>
      </c>
      <c r="C24" s="1727"/>
      <c r="D24" s="1727"/>
      <c r="E24" s="1727"/>
      <c r="F24" s="1728"/>
      <c r="G24" s="1696">
        <v>0</v>
      </c>
      <c r="H24" s="1696"/>
    </row>
    <row r="27" spans="2:11" x14ac:dyDescent="0.2">
      <c r="G27" s="403"/>
    </row>
  </sheetData>
  <mergeCells count="32">
    <mergeCell ref="B12:F12"/>
    <mergeCell ref="G12:H12"/>
    <mergeCell ref="B13:F13"/>
    <mergeCell ref="G13:H13"/>
    <mergeCell ref="B14:F14"/>
    <mergeCell ref="G14:H14"/>
    <mergeCell ref="B4:H4"/>
    <mergeCell ref="B5:H5"/>
    <mergeCell ref="G10:H10"/>
    <mergeCell ref="B11:F11"/>
    <mergeCell ref="G11:H11"/>
    <mergeCell ref="B7:H7"/>
    <mergeCell ref="B15:F15"/>
    <mergeCell ref="G15:H15"/>
    <mergeCell ref="B16:F16"/>
    <mergeCell ref="G16:H16"/>
    <mergeCell ref="B19:F19"/>
    <mergeCell ref="G19:H19"/>
    <mergeCell ref="B18:F18"/>
    <mergeCell ref="G18:H18"/>
    <mergeCell ref="B17:F17"/>
    <mergeCell ref="G17:H17"/>
    <mergeCell ref="B20:F20"/>
    <mergeCell ref="G20:H20"/>
    <mergeCell ref="B24:F24"/>
    <mergeCell ref="G24:H24"/>
    <mergeCell ref="B22:F22"/>
    <mergeCell ref="G22:H22"/>
    <mergeCell ref="B23:F23"/>
    <mergeCell ref="G23:H23"/>
    <mergeCell ref="B21:F21"/>
    <mergeCell ref="G21:H21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&amp;R13.3. sz. melléklet
.../2020.(VI.25.) Egyek Önk. r.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L6" sqref="L6"/>
    </sheetView>
  </sheetViews>
  <sheetFormatPr defaultRowHeight="12.75" x14ac:dyDescent="0.2"/>
  <cols>
    <col min="1" max="1" width="8.85546875" customWidth="1"/>
    <col min="2" max="2" width="31.28515625" customWidth="1"/>
    <col min="3" max="3" width="20.28515625" customWidth="1"/>
    <col min="4" max="4" width="17.85546875" customWidth="1"/>
    <col min="5" max="5" width="18.140625" customWidth="1"/>
    <col min="6" max="6" width="16.42578125" style="1078" customWidth="1"/>
    <col min="7" max="7" width="18" style="1078" customWidth="1"/>
    <col min="8" max="8" width="17.28515625" customWidth="1"/>
  </cols>
  <sheetData>
    <row r="1" spans="1:8" x14ac:dyDescent="0.2">
      <c r="F1" s="1077"/>
      <c r="G1" s="1077"/>
    </row>
    <row r="2" spans="1:8" x14ac:dyDescent="0.2">
      <c r="A2" s="471"/>
      <c r="B2" s="472"/>
      <c r="C2" s="472"/>
      <c r="D2" s="472"/>
      <c r="E2" s="472"/>
    </row>
    <row r="3" spans="1:8" ht="50.25" customHeight="1" x14ac:dyDescent="0.2">
      <c r="A3" s="1739" t="s">
        <v>668</v>
      </c>
      <c r="B3" s="1739"/>
      <c r="C3" s="1739"/>
      <c r="D3" s="1739"/>
      <c r="E3" s="1739"/>
      <c r="F3" s="1739"/>
      <c r="G3" s="1739"/>
      <c r="H3" s="1739"/>
    </row>
    <row r="4" spans="1:8" ht="16.5" thickBot="1" x14ac:dyDescent="0.3">
      <c r="A4" s="473"/>
      <c r="B4" s="472"/>
      <c r="C4" s="472"/>
      <c r="D4" s="472"/>
      <c r="E4" s="472"/>
    </row>
    <row r="5" spans="1:8" ht="95.25" thickBot="1" x14ac:dyDescent="0.25">
      <c r="A5" s="544" t="s">
        <v>237</v>
      </c>
      <c r="B5" s="542" t="s">
        <v>325</v>
      </c>
      <c r="C5" s="474" t="s">
        <v>326</v>
      </c>
      <c r="D5" s="474" t="s">
        <v>327</v>
      </c>
      <c r="E5" s="1079" t="s">
        <v>433</v>
      </c>
      <c r="F5" s="1079" t="s">
        <v>463</v>
      </c>
      <c r="G5" s="474" t="s">
        <v>328</v>
      </c>
      <c r="H5" s="543" t="s">
        <v>434</v>
      </c>
    </row>
    <row r="6" spans="1:8" ht="15.75" x14ac:dyDescent="0.25">
      <c r="A6" s="536" t="s">
        <v>0</v>
      </c>
      <c r="B6" s="534" t="s">
        <v>36</v>
      </c>
      <c r="C6" s="1080">
        <v>1</v>
      </c>
      <c r="D6" s="1081">
        <v>3000000</v>
      </c>
      <c r="E6" s="1082"/>
      <c r="F6" s="1082">
        <v>3000000</v>
      </c>
      <c r="G6" s="1081"/>
      <c r="H6" s="1083">
        <v>0</v>
      </c>
    </row>
    <row r="7" spans="1:8" ht="31.5" x14ac:dyDescent="0.2">
      <c r="A7" s="537" t="s">
        <v>4</v>
      </c>
      <c r="B7" s="535" t="s">
        <v>432</v>
      </c>
      <c r="C7" s="1084">
        <v>1.2999999999999999E-2</v>
      </c>
      <c r="D7" s="1085">
        <v>50000</v>
      </c>
      <c r="E7" s="1086">
        <v>44280</v>
      </c>
      <c r="F7" s="1086">
        <f>D7-E7</f>
        <v>5720</v>
      </c>
      <c r="G7" s="1085">
        <v>0</v>
      </c>
      <c r="H7" s="1087">
        <v>0</v>
      </c>
    </row>
    <row r="8" spans="1:8" ht="15.75" x14ac:dyDescent="0.25">
      <c r="A8" s="537" t="s">
        <v>8</v>
      </c>
      <c r="B8" s="535" t="s">
        <v>496</v>
      </c>
      <c r="C8" s="1084">
        <v>2.7E-2</v>
      </c>
      <c r="D8" s="1085">
        <v>80000</v>
      </c>
      <c r="E8" s="1088"/>
      <c r="F8" s="1086">
        <f t="shared" ref="F8:F11" si="0">D8-E8</f>
        <v>80000</v>
      </c>
      <c r="G8" s="1085">
        <v>0</v>
      </c>
      <c r="H8" s="1087">
        <v>0</v>
      </c>
    </row>
    <row r="9" spans="1:8" ht="15.75" x14ac:dyDescent="0.2">
      <c r="A9" s="537" t="s">
        <v>2</v>
      </c>
      <c r="B9" s="538" t="s">
        <v>670</v>
      </c>
      <c r="C9" s="1084">
        <v>0.14285700000000001</v>
      </c>
      <c r="D9" s="1085">
        <v>9000</v>
      </c>
      <c r="E9" s="1089">
        <v>9000</v>
      </c>
      <c r="F9" s="1086">
        <f t="shared" si="0"/>
        <v>0</v>
      </c>
      <c r="G9" s="1085">
        <v>0</v>
      </c>
      <c r="H9" s="1087"/>
    </row>
    <row r="10" spans="1:8" ht="31.5" x14ac:dyDescent="0.25">
      <c r="A10" s="537" t="s">
        <v>5</v>
      </c>
      <c r="B10" s="535" t="s">
        <v>497</v>
      </c>
      <c r="C10" s="1090">
        <v>6.9999999999999999E-6</v>
      </c>
      <c r="D10" s="1085">
        <v>7200</v>
      </c>
      <c r="E10" s="1088"/>
      <c r="F10" s="1086">
        <f t="shared" si="0"/>
        <v>7200</v>
      </c>
      <c r="G10" s="1085"/>
      <c r="H10" s="1087"/>
    </row>
    <row r="11" spans="1:8" ht="15.75" x14ac:dyDescent="0.25">
      <c r="A11" s="537" t="s">
        <v>9</v>
      </c>
      <c r="B11" s="535" t="s">
        <v>552</v>
      </c>
      <c r="C11" s="1090">
        <v>0.33333299999999999</v>
      </c>
      <c r="D11" s="1085">
        <v>10000</v>
      </c>
      <c r="E11" s="1088">
        <v>10000</v>
      </c>
      <c r="F11" s="1086">
        <f t="shared" si="0"/>
        <v>0</v>
      </c>
      <c r="G11" s="1085">
        <v>0</v>
      </c>
      <c r="H11" s="1087"/>
    </row>
    <row r="12" spans="1:8" ht="15.75" x14ac:dyDescent="0.25">
      <c r="A12" s="537" t="s">
        <v>3</v>
      </c>
      <c r="B12" s="535"/>
      <c r="C12" s="1091"/>
      <c r="D12" s="1085"/>
      <c r="E12" s="1088"/>
      <c r="F12" s="1088"/>
      <c r="G12" s="1085"/>
      <c r="H12" s="1092"/>
    </row>
    <row r="13" spans="1:8" ht="15.75" x14ac:dyDescent="0.25">
      <c r="A13" s="537" t="s">
        <v>10</v>
      </c>
      <c r="B13" s="535"/>
      <c r="C13" s="1091"/>
      <c r="D13" s="1085"/>
      <c r="E13" s="1088"/>
      <c r="F13" s="1088"/>
      <c r="G13" s="1093"/>
      <c r="H13" s="541"/>
    </row>
    <row r="14" spans="1:8" ht="15.75" x14ac:dyDescent="0.25">
      <c r="A14" s="537" t="s">
        <v>6</v>
      </c>
      <c r="B14" s="535"/>
      <c r="C14" s="1091"/>
      <c r="D14" s="1085"/>
      <c r="E14" s="1088"/>
      <c r="F14" s="1088"/>
      <c r="G14" s="1093"/>
      <c r="H14" s="541"/>
    </row>
    <row r="15" spans="1:8" ht="15.75" x14ac:dyDescent="0.25">
      <c r="A15" s="537" t="s">
        <v>1</v>
      </c>
      <c r="B15" s="535"/>
      <c r="C15" s="1091"/>
      <c r="D15" s="1085"/>
      <c r="E15" s="1088"/>
      <c r="F15" s="1088"/>
      <c r="G15" s="1093"/>
      <c r="H15" s="541"/>
    </row>
    <row r="16" spans="1:8" ht="15.75" x14ac:dyDescent="0.25">
      <c r="A16" s="537" t="s">
        <v>7</v>
      </c>
      <c r="B16" s="535"/>
      <c r="C16" s="1091"/>
      <c r="D16" s="1085"/>
      <c r="E16" s="1088"/>
      <c r="F16" s="1088"/>
      <c r="G16" s="1093"/>
      <c r="H16" s="541"/>
    </row>
    <row r="17" spans="1:8" ht="15.75" x14ac:dyDescent="0.25">
      <c r="A17" s="537" t="s">
        <v>15</v>
      </c>
      <c r="B17" s="535"/>
      <c r="C17" s="1091"/>
      <c r="D17" s="1085"/>
      <c r="E17" s="1088"/>
      <c r="F17" s="1088"/>
      <c r="G17" s="1093"/>
      <c r="H17" s="541"/>
    </row>
    <row r="18" spans="1:8" ht="15.75" x14ac:dyDescent="0.25">
      <c r="A18" s="537" t="s">
        <v>13</v>
      </c>
      <c r="B18" s="535"/>
      <c r="C18" s="1091"/>
      <c r="D18" s="1085"/>
      <c r="E18" s="1088"/>
      <c r="F18" s="1088"/>
      <c r="G18" s="1093"/>
      <c r="H18" s="541"/>
    </row>
    <row r="19" spans="1:8" ht="15.75" x14ac:dyDescent="0.25">
      <c r="A19" s="537" t="s">
        <v>25</v>
      </c>
      <c r="B19" s="535"/>
      <c r="C19" s="1091"/>
      <c r="D19" s="1085"/>
      <c r="E19" s="1088"/>
      <c r="F19" s="1088"/>
      <c r="G19" s="1093"/>
      <c r="H19" s="541"/>
    </row>
    <row r="20" spans="1:8" ht="15.75" x14ac:dyDescent="0.25">
      <c r="A20" s="537" t="s">
        <v>28</v>
      </c>
      <c r="B20" s="535"/>
      <c r="C20" s="1091"/>
      <c r="D20" s="1085"/>
      <c r="E20" s="1088"/>
      <c r="F20" s="1088"/>
      <c r="G20" s="1093"/>
      <c r="H20" s="541"/>
    </row>
    <row r="21" spans="1:8" ht="15.75" x14ac:dyDescent="0.25">
      <c r="A21" s="537" t="s">
        <v>26</v>
      </c>
      <c r="B21" s="535"/>
      <c r="C21" s="1091"/>
      <c r="D21" s="1085"/>
      <c r="E21" s="1088"/>
      <c r="F21" s="1088"/>
      <c r="G21" s="1093"/>
      <c r="H21" s="541"/>
    </row>
    <row r="22" spans="1:8" ht="16.5" thickBot="1" x14ac:dyDescent="0.3">
      <c r="A22" s="539" t="s">
        <v>27</v>
      </c>
      <c r="B22" s="540"/>
      <c r="C22" s="1094"/>
      <c r="D22" s="1095"/>
      <c r="E22" s="1096"/>
      <c r="F22" s="1096"/>
      <c r="G22" s="1097"/>
      <c r="H22" s="545"/>
    </row>
    <row r="23" spans="1:8" s="84" customFormat="1" ht="16.5" thickBot="1" x14ac:dyDescent="0.3">
      <c r="A23" s="1740" t="s">
        <v>329</v>
      </c>
      <c r="B23" s="1741"/>
      <c r="C23" s="475"/>
      <c r="D23" s="1098">
        <f>IF(SUM(D6:D22)=0,"",SUM(D6:D22))</f>
        <v>3156200</v>
      </c>
      <c r="E23" s="1099">
        <f>SUM(E6:E22)</f>
        <v>63280</v>
      </c>
      <c r="F23" s="1099">
        <f>SUM(F6:F22)</f>
        <v>3092920</v>
      </c>
      <c r="G23" s="1100" t="str">
        <f>IF(SUM(G6:G22)=0,"",SUM(G6:G22))</f>
        <v/>
      </c>
      <c r="H23" s="1100" t="str">
        <f>IF(SUM(H6:H22)=0,"",SUM(H6:H22))</f>
        <v/>
      </c>
    </row>
    <row r="24" spans="1:8" ht="15.75" x14ac:dyDescent="0.25">
      <c r="A24" s="473"/>
      <c r="B24" s="472"/>
      <c r="C24" s="472"/>
      <c r="D24" s="472"/>
      <c r="E24" s="472"/>
    </row>
  </sheetData>
  <mergeCells count="2">
    <mergeCell ref="A3:H3"/>
    <mergeCell ref="A23:B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&amp;R14.sz. melléklet
.../2020.(VI.25.) Egyek Önk.r.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zoomScale="110" zoomScaleNormal="110" workbookViewId="0">
      <selection activeCell="L5" sqref="L5"/>
    </sheetView>
  </sheetViews>
  <sheetFormatPr defaultColWidth="9.140625" defaultRowHeight="15" x14ac:dyDescent="0.25"/>
  <cols>
    <col min="1" max="1" width="9.140625" style="1337"/>
    <col min="2" max="2" width="20.5703125" style="1337" bestFit="1" customWidth="1"/>
    <col min="3" max="3" width="16.5703125" style="1321" customWidth="1"/>
    <col min="4" max="4" width="19.140625" style="1338" customWidth="1"/>
    <col min="5" max="5" width="17.28515625" style="1321" customWidth="1"/>
    <col min="6" max="6" width="17.7109375" style="1321" customWidth="1"/>
    <col min="7" max="7" width="14.85546875" style="1321" customWidth="1"/>
    <col min="8" max="8" width="17" style="1321" customWidth="1"/>
    <col min="9" max="9" width="19.28515625" style="1321" customWidth="1"/>
    <col min="10" max="10" width="17.140625" style="1321" customWidth="1"/>
    <col min="11" max="16384" width="9.140625" style="1321"/>
  </cols>
  <sheetData>
    <row r="2" spans="1:10" ht="39" customHeight="1" x14ac:dyDescent="0.25">
      <c r="A2" s="1777" t="s">
        <v>669</v>
      </c>
      <c r="B2" s="1777"/>
      <c r="C2" s="1777"/>
      <c r="D2" s="1777"/>
      <c r="E2" s="1777"/>
      <c r="F2" s="1777"/>
      <c r="G2" s="1777"/>
      <c r="H2" s="1777"/>
      <c r="I2" s="1777"/>
      <c r="J2" s="1777"/>
    </row>
    <row r="4" spans="1:10" s="1324" customFormat="1" ht="45" x14ac:dyDescent="0.2">
      <c r="A4" s="1322" t="s">
        <v>237</v>
      </c>
      <c r="B4" s="1322" t="s">
        <v>675</v>
      </c>
      <c r="C4" s="1322" t="s">
        <v>553</v>
      </c>
      <c r="D4" s="1322" t="s">
        <v>180</v>
      </c>
      <c r="E4" s="1322" t="s">
        <v>554</v>
      </c>
      <c r="F4" s="1322" t="s">
        <v>674</v>
      </c>
      <c r="G4" s="1322" t="s">
        <v>671</v>
      </c>
      <c r="H4" s="1323" t="s">
        <v>672</v>
      </c>
      <c r="I4" s="1322" t="s">
        <v>673</v>
      </c>
      <c r="J4" s="1322" t="s">
        <v>555</v>
      </c>
    </row>
    <row r="5" spans="1:10" ht="30" customHeight="1" x14ac:dyDescent="0.25">
      <c r="A5" s="1746">
        <v>1</v>
      </c>
      <c r="B5" s="1746" t="s">
        <v>676</v>
      </c>
      <c r="C5" s="1746" t="s">
        <v>556</v>
      </c>
      <c r="D5" s="1776" t="s">
        <v>557</v>
      </c>
      <c r="E5" s="1766">
        <v>9500000</v>
      </c>
      <c r="F5" s="1764">
        <v>4750000</v>
      </c>
      <c r="G5" s="1765">
        <v>43739</v>
      </c>
      <c r="H5" s="1766">
        <v>950000</v>
      </c>
      <c r="I5" s="1764">
        <v>950000</v>
      </c>
      <c r="J5" s="1764">
        <f>F5-I5</f>
        <v>3800000</v>
      </c>
    </row>
    <row r="6" spans="1:10" ht="15" customHeight="1" x14ac:dyDescent="0.25">
      <c r="A6" s="1747"/>
      <c r="B6" s="1747"/>
      <c r="C6" s="1747"/>
      <c r="D6" s="1776"/>
      <c r="E6" s="1766"/>
      <c r="F6" s="1764"/>
      <c r="G6" s="1768"/>
      <c r="H6" s="1766"/>
      <c r="I6" s="1764"/>
      <c r="J6" s="1764"/>
    </row>
    <row r="7" spans="1:10" ht="63.75" x14ac:dyDescent="0.25">
      <c r="A7" s="1325">
        <v>2</v>
      </c>
      <c r="B7" s="1325" t="s">
        <v>677</v>
      </c>
      <c r="C7" s="1325" t="s">
        <v>558</v>
      </c>
      <c r="D7" s="1326" t="s">
        <v>559</v>
      </c>
      <c r="E7" s="1327">
        <v>1352550</v>
      </c>
      <c r="F7" s="1328">
        <v>677075</v>
      </c>
      <c r="G7" s="1329">
        <v>43739</v>
      </c>
      <c r="H7" s="1327">
        <v>135255</v>
      </c>
      <c r="I7" s="1328">
        <v>135255</v>
      </c>
      <c r="J7" s="1328">
        <f>F7-I7</f>
        <v>541820</v>
      </c>
    </row>
    <row r="8" spans="1:10" ht="76.5" x14ac:dyDescent="0.25">
      <c r="A8" s="1325">
        <v>3</v>
      </c>
      <c r="B8" s="1325" t="s">
        <v>678</v>
      </c>
      <c r="C8" s="1325" t="s">
        <v>560</v>
      </c>
      <c r="D8" s="1326" t="s">
        <v>561</v>
      </c>
      <c r="E8" s="1327">
        <v>304800</v>
      </c>
      <c r="F8" s="1328">
        <v>152400</v>
      </c>
      <c r="G8" s="1329">
        <v>43739</v>
      </c>
      <c r="H8" s="1327">
        <v>30480</v>
      </c>
      <c r="I8" s="1328">
        <v>30480</v>
      </c>
      <c r="J8" s="1328">
        <f>F8-H8</f>
        <v>121920</v>
      </c>
    </row>
    <row r="9" spans="1:10" ht="39" customHeight="1" x14ac:dyDescent="0.25">
      <c r="A9" s="1768">
        <v>4</v>
      </c>
      <c r="B9" s="1746" t="s">
        <v>679</v>
      </c>
      <c r="C9" s="1768" t="s">
        <v>562</v>
      </c>
      <c r="D9" s="1776" t="s">
        <v>563</v>
      </c>
      <c r="E9" s="1766">
        <v>9800000</v>
      </c>
      <c r="F9" s="1764">
        <v>4900000</v>
      </c>
      <c r="G9" s="1765">
        <v>43558</v>
      </c>
      <c r="H9" s="1766">
        <v>980000</v>
      </c>
      <c r="I9" s="1764">
        <v>980000</v>
      </c>
      <c r="J9" s="1764">
        <f>F9-I9</f>
        <v>3920000</v>
      </c>
    </row>
    <row r="10" spans="1:10" ht="7.5" customHeight="1" x14ac:dyDescent="0.25">
      <c r="A10" s="1768"/>
      <c r="B10" s="1759"/>
      <c r="C10" s="1768"/>
      <c r="D10" s="1776"/>
      <c r="E10" s="1766"/>
      <c r="F10" s="1764"/>
      <c r="G10" s="1768"/>
      <c r="H10" s="1766"/>
      <c r="I10" s="1764"/>
      <c r="J10" s="1764"/>
    </row>
    <row r="11" spans="1:10" ht="6" hidden="1" customHeight="1" x14ac:dyDescent="0.25">
      <c r="A11" s="1768"/>
      <c r="B11" s="1747"/>
      <c r="C11" s="1768"/>
      <c r="D11" s="1776"/>
      <c r="E11" s="1766"/>
      <c r="F11" s="1764"/>
      <c r="G11" s="1768"/>
      <c r="H11" s="1766"/>
      <c r="I11" s="1764"/>
      <c r="J11" s="1764"/>
    </row>
    <row r="12" spans="1:10" ht="48.75" customHeight="1" x14ac:dyDescent="0.25">
      <c r="A12" s="1773">
        <v>5</v>
      </c>
      <c r="B12" s="1773" t="s">
        <v>680</v>
      </c>
      <c r="C12" s="1773" t="s">
        <v>566</v>
      </c>
      <c r="D12" s="1750" t="s">
        <v>681</v>
      </c>
      <c r="E12" s="1752">
        <v>7566000</v>
      </c>
      <c r="F12" s="1742">
        <v>4382000</v>
      </c>
      <c r="G12" s="1329">
        <v>43558</v>
      </c>
      <c r="H12" s="1327">
        <v>398000</v>
      </c>
      <c r="I12" s="1742">
        <v>796000</v>
      </c>
      <c r="J12" s="1770">
        <f>F12-I12</f>
        <v>3586000</v>
      </c>
    </row>
    <row r="13" spans="1:10" ht="0.75" customHeight="1" x14ac:dyDescent="0.25">
      <c r="A13" s="1774"/>
      <c r="B13" s="1774"/>
      <c r="C13" s="1774"/>
      <c r="D13" s="1762"/>
      <c r="E13" s="1763"/>
      <c r="F13" s="1755"/>
      <c r="G13" s="1765">
        <v>43371</v>
      </c>
      <c r="H13" s="1766">
        <v>398000</v>
      </c>
      <c r="I13" s="1755"/>
      <c r="J13" s="1771"/>
    </row>
    <row r="14" spans="1:10" ht="15" hidden="1" customHeight="1" x14ac:dyDescent="0.25">
      <c r="A14" s="1774"/>
      <c r="B14" s="1774"/>
      <c r="C14" s="1774"/>
      <c r="D14" s="1762"/>
      <c r="E14" s="1763"/>
      <c r="F14" s="1755"/>
      <c r="G14" s="1765"/>
      <c r="H14" s="1766"/>
      <c r="I14" s="1755"/>
      <c r="J14" s="1771"/>
    </row>
    <row r="15" spans="1:10" x14ac:dyDescent="0.25">
      <c r="A15" s="1775"/>
      <c r="B15" s="1775"/>
      <c r="C15" s="1775"/>
      <c r="D15" s="1751"/>
      <c r="E15" s="1753"/>
      <c r="F15" s="1743"/>
      <c r="G15" s="1329">
        <v>43736</v>
      </c>
      <c r="H15" s="1327">
        <v>398000</v>
      </c>
      <c r="I15" s="1743"/>
      <c r="J15" s="1772"/>
    </row>
    <row r="16" spans="1:10" ht="56.25" customHeight="1" x14ac:dyDescent="0.25">
      <c r="A16" s="1768">
        <v>6</v>
      </c>
      <c r="B16" s="1746" t="s">
        <v>682</v>
      </c>
      <c r="C16" s="1768" t="s">
        <v>564</v>
      </c>
      <c r="D16" s="1769" t="s">
        <v>565</v>
      </c>
      <c r="E16" s="1766">
        <v>19846000</v>
      </c>
      <c r="F16" s="1764">
        <v>9169674</v>
      </c>
      <c r="G16" s="1765">
        <v>43739</v>
      </c>
      <c r="H16" s="1766">
        <v>1984630</v>
      </c>
      <c r="I16" s="1764">
        <v>1984630</v>
      </c>
      <c r="J16" s="1767">
        <f>F16-I16</f>
        <v>7185044</v>
      </c>
    </row>
    <row r="17" spans="1:13" ht="1.5" hidden="1" customHeight="1" x14ac:dyDescent="0.25">
      <c r="A17" s="1768"/>
      <c r="B17" s="1759"/>
      <c r="C17" s="1768"/>
      <c r="D17" s="1769"/>
      <c r="E17" s="1766"/>
      <c r="F17" s="1764"/>
      <c r="G17" s="1765"/>
      <c r="H17" s="1766"/>
      <c r="I17" s="1764"/>
      <c r="J17" s="1767"/>
    </row>
    <row r="18" spans="1:13" ht="12.75" hidden="1" customHeight="1" x14ac:dyDescent="0.25">
      <c r="A18" s="1768"/>
      <c r="B18" s="1759"/>
      <c r="C18" s="1768"/>
      <c r="D18" s="1769"/>
      <c r="E18" s="1766"/>
      <c r="F18" s="1764"/>
      <c r="G18" s="1765"/>
      <c r="H18" s="1766"/>
      <c r="I18" s="1764"/>
      <c r="J18" s="1767"/>
    </row>
    <row r="19" spans="1:13" ht="15" hidden="1" customHeight="1" x14ac:dyDescent="0.25">
      <c r="A19" s="1768"/>
      <c r="B19" s="1759"/>
      <c r="C19" s="1768"/>
      <c r="D19" s="1769"/>
      <c r="E19" s="1766"/>
      <c r="F19" s="1764"/>
      <c r="G19" s="1765"/>
      <c r="H19" s="1766"/>
      <c r="I19" s="1764"/>
      <c r="J19" s="1767"/>
    </row>
    <row r="20" spans="1:13" ht="15" hidden="1" customHeight="1" x14ac:dyDescent="0.25">
      <c r="A20" s="1768"/>
      <c r="B20" s="1747"/>
      <c r="C20" s="1768"/>
      <c r="D20" s="1769"/>
      <c r="E20" s="1766"/>
      <c r="F20" s="1764"/>
      <c r="G20" s="1765"/>
      <c r="H20" s="1766"/>
      <c r="I20" s="1764"/>
      <c r="J20" s="1767"/>
    </row>
    <row r="21" spans="1:13" ht="36" customHeight="1" x14ac:dyDescent="0.25">
      <c r="A21" s="1746">
        <v>7</v>
      </c>
      <c r="B21" s="1746" t="s">
        <v>683</v>
      </c>
      <c r="C21" s="1746" t="s">
        <v>568</v>
      </c>
      <c r="D21" s="1750" t="s">
        <v>684</v>
      </c>
      <c r="E21" s="1752">
        <v>2500000</v>
      </c>
      <c r="F21" s="1742">
        <v>1452000</v>
      </c>
      <c r="G21" s="1329">
        <v>43558</v>
      </c>
      <c r="H21" s="1327">
        <v>131000</v>
      </c>
      <c r="I21" s="1742">
        <v>262000</v>
      </c>
      <c r="J21" s="1744">
        <f>F21-I21</f>
        <v>1190000</v>
      </c>
    </row>
    <row r="22" spans="1:13" ht="14.25" customHeight="1" x14ac:dyDescent="0.25">
      <c r="A22" s="1747"/>
      <c r="B22" s="1747"/>
      <c r="C22" s="1747"/>
      <c r="D22" s="1751"/>
      <c r="E22" s="1753"/>
      <c r="F22" s="1743"/>
      <c r="G22" s="1329">
        <v>43736</v>
      </c>
      <c r="H22" s="1327">
        <v>131000</v>
      </c>
      <c r="I22" s="1743"/>
      <c r="J22" s="1745"/>
    </row>
    <row r="23" spans="1:13" ht="27" customHeight="1" x14ac:dyDescent="0.25">
      <c r="A23" s="1746">
        <v>8</v>
      </c>
      <c r="B23" s="1746" t="s">
        <v>685</v>
      </c>
      <c r="C23" s="1760" t="s">
        <v>567</v>
      </c>
      <c r="D23" s="1750" t="s">
        <v>686</v>
      </c>
      <c r="E23" s="1752">
        <v>9798000</v>
      </c>
      <c r="F23" s="1742">
        <v>6680485</v>
      </c>
      <c r="G23" s="1329">
        <v>43558</v>
      </c>
      <c r="H23" s="1327">
        <v>490000</v>
      </c>
      <c r="I23" s="1742">
        <v>980000</v>
      </c>
      <c r="J23" s="1744">
        <f>F23-I23</f>
        <v>5700485</v>
      </c>
    </row>
    <row r="24" spans="1:13" ht="14.25" customHeight="1" x14ac:dyDescent="0.25">
      <c r="A24" s="1759"/>
      <c r="B24" s="1759"/>
      <c r="C24" s="1761"/>
      <c r="D24" s="1762"/>
      <c r="E24" s="1763"/>
      <c r="F24" s="1755"/>
      <c r="G24" s="1757">
        <v>43736</v>
      </c>
      <c r="H24" s="1752">
        <v>490000</v>
      </c>
      <c r="I24" s="1755"/>
      <c r="J24" s="1756"/>
    </row>
    <row r="25" spans="1:13" ht="14.25" customHeight="1" x14ac:dyDescent="0.25">
      <c r="A25" s="1747"/>
      <c r="B25" s="1747"/>
      <c r="C25" s="1749"/>
      <c r="D25" s="1751"/>
      <c r="E25" s="1753"/>
      <c r="F25" s="1743"/>
      <c r="G25" s="1758"/>
      <c r="H25" s="1753"/>
      <c r="I25" s="1743"/>
      <c r="J25" s="1745"/>
    </row>
    <row r="26" spans="1:13" ht="14.25" customHeight="1" x14ac:dyDescent="0.25">
      <c r="A26" s="1746">
        <v>9</v>
      </c>
      <c r="B26" s="1746" t="s">
        <v>694</v>
      </c>
      <c r="C26" s="1748" t="s">
        <v>693</v>
      </c>
      <c r="D26" s="1750" t="s">
        <v>692</v>
      </c>
      <c r="E26" s="1752">
        <v>36682274</v>
      </c>
      <c r="F26" s="1742">
        <v>0</v>
      </c>
      <c r="G26" s="1757"/>
      <c r="H26" s="1752"/>
      <c r="I26" s="1742">
        <v>1930600</v>
      </c>
      <c r="J26" s="1744">
        <f>E26-I26</f>
        <v>34751674</v>
      </c>
    </row>
    <row r="27" spans="1:13" ht="147" customHeight="1" x14ac:dyDescent="0.25">
      <c r="A27" s="1747"/>
      <c r="B27" s="1747"/>
      <c r="C27" s="1749"/>
      <c r="D27" s="1751"/>
      <c r="E27" s="1753"/>
      <c r="F27" s="1743"/>
      <c r="G27" s="1758"/>
      <c r="H27" s="1753"/>
      <c r="I27" s="1743"/>
      <c r="J27" s="1745"/>
    </row>
    <row r="28" spans="1:13" ht="14.25" customHeight="1" x14ac:dyDescent="0.25">
      <c r="A28" s="1746">
        <v>10</v>
      </c>
      <c r="B28" s="1754" t="s">
        <v>687</v>
      </c>
      <c r="C28" s="1748" t="s">
        <v>688</v>
      </c>
      <c r="D28" s="1750" t="s">
        <v>689</v>
      </c>
      <c r="E28" s="1752">
        <v>55000000</v>
      </c>
      <c r="F28" s="1742">
        <v>45738958</v>
      </c>
      <c r="G28" s="1757">
        <v>43738</v>
      </c>
      <c r="H28" s="1752">
        <v>2895000</v>
      </c>
      <c r="I28" s="1742">
        <v>5790000</v>
      </c>
      <c r="J28" s="1744">
        <f>F28-I28</f>
        <v>39948958</v>
      </c>
    </row>
    <row r="29" spans="1:13" ht="81" customHeight="1" x14ac:dyDescent="0.25">
      <c r="A29" s="1747"/>
      <c r="B29" s="1747"/>
      <c r="C29" s="1749"/>
      <c r="D29" s="1751"/>
      <c r="E29" s="1753"/>
      <c r="F29" s="1743"/>
      <c r="G29" s="1758"/>
      <c r="H29" s="1753"/>
      <c r="I29" s="1743"/>
      <c r="J29" s="1745"/>
    </row>
    <row r="30" spans="1:13" ht="48" customHeight="1" x14ac:dyDescent="0.25">
      <c r="A30" s="1746">
        <v>11</v>
      </c>
      <c r="B30" s="1746" t="s">
        <v>690</v>
      </c>
      <c r="C30" s="1746" t="s">
        <v>569</v>
      </c>
      <c r="D30" s="1750" t="s">
        <v>691</v>
      </c>
      <c r="E30" s="1752">
        <v>14361000</v>
      </c>
      <c r="F30" s="1742">
        <v>8377155</v>
      </c>
      <c r="G30" s="1329">
        <v>43558</v>
      </c>
      <c r="H30" s="1327">
        <v>718000</v>
      </c>
      <c r="I30" s="1742">
        <v>1436000</v>
      </c>
      <c r="J30" s="1744">
        <f>F30-I30</f>
        <v>6941155</v>
      </c>
    </row>
    <row r="31" spans="1:13" x14ac:dyDescent="0.25">
      <c r="A31" s="1747"/>
      <c r="B31" s="1747"/>
      <c r="C31" s="1747"/>
      <c r="D31" s="1751"/>
      <c r="E31" s="1753"/>
      <c r="F31" s="1743"/>
      <c r="G31" s="1329">
        <v>43736</v>
      </c>
      <c r="H31" s="1327">
        <v>718000</v>
      </c>
      <c r="I31" s="1743"/>
      <c r="J31" s="1745"/>
    </row>
    <row r="32" spans="1:13" s="1336" customFormat="1" ht="15.75" x14ac:dyDescent="0.25">
      <c r="A32" s="1330"/>
      <c r="B32" s="1330"/>
      <c r="C32" s="1330" t="s">
        <v>14</v>
      </c>
      <c r="D32" s="1331"/>
      <c r="E32" s="1332"/>
      <c r="F32" s="1333">
        <f>SUM(F5:F31)</f>
        <v>86279747</v>
      </c>
      <c r="G32" s="1334"/>
      <c r="H32" s="1333">
        <f>H31+H30+H24+H23+H22+H21+H16+H15+H12+H9+H8+H7+H5+H28</f>
        <v>10449365</v>
      </c>
      <c r="I32" s="1333">
        <f>SUM(I5:I31)</f>
        <v>15274965</v>
      </c>
      <c r="J32" s="1333">
        <f>SUM(J5:J31)</f>
        <v>107687056</v>
      </c>
      <c r="K32" s="1335"/>
      <c r="L32" s="1335"/>
      <c r="M32" s="1335"/>
    </row>
  </sheetData>
  <mergeCells count="87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A12:A15"/>
    <mergeCell ref="B12:B15"/>
    <mergeCell ref="C12:C15"/>
    <mergeCell ref="D12:D15"/>
    <mergeCell ref="E12:E15"/>
    <mergeCell ref="F12:F15"/>
    <mergeCell ref="I12:I15"/>
    <mergeCell ref="J12:J15"/>
    <mergeCell ref="G13:G14"/>
    <mergeCell ref="H13:H14"/>
    <mergeCell ref="A16:A20"/>
    <mergeCell ref="B16:B20"/>
    <mergeCell ref="C16:C20"/>
    <mergeCell ref="D16:D20"/>
    <mergeCell ref="E16:E20"/>
    <mergeCell ref="F16:F20"/>
    <mergeCell ref="G16:G20"/>
    <mergeCell ref="H16:H20"/>
    <mergeCell ref="I16:I20"/>
    <mergeCell ref="J16:J20"/>
    <mergeCell ref="F21:F22"/>
    <mergeCell ref="I21:I22"/>
    <mergeCell ref="J21:J22"/>
    <mergeCell ref="A23:A25"/>
    <mergeCell ref="B23:B25"/>
    <mergeCell ref="C23:C25"/>
    <mergeCell ref="D23:D25"/>
    <mergeCell ref="E23:E25"/>
    <mergeCell ref="A21:A22"/>
    <mergeCell ref="B21:B22"/>
    <mergeCell ref="C21:C22"/>
    <mergeCell ref="D21:D22"/>
    <mergeCell ref="E21:E22"/>
    <mergeCell ref="F30:F31"/>
    <mergeCell ref="I23:I25"/>
    <mergeCell ref="J23:J25"/>
    <mergeCell ref="G24:G25"/>
    <mergeCell ref="H24:H25"/>
    <mergeCell ref="F28:F29"/>
    <mergeCell ref="F23:F25"/>
    <mergeCell ref="I26:I27"/>
    <mergeCell ref="J26:J27"/>
    <mergeCell ref="I30:I31"/>
    <mergeCell ref="J30:J31"/>
    <mergeCell ref="F26:F27"/>
    <mergeCell ref="H26:H27"/>
    <mergeCell ref="G26:G27"/>
    <mergeCell ref="G28:G29"/>
    <mergeCell ref="H28:H29"/>
    <mergeCell ref="A30:A31"/>
    <mergeCell ref="B30:B31"/>
    <mergeCell ref="C30:C31"/>
    <mergeCell ref="D30:D31"/>
    <mergeCell ref="E30:E31"/>
    <mergeCell ref="I28:I29"/>
    <mergeCell ref="J28:J29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&amp;R15.sz. melléklet
....../2020.(VI.25.) Egyek Önk. 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zoomScale="120" zoomScaleNormal="120" workbookViewId="0">
      <selection activeCell="E33" sqref="E33"/>
    </sheetView>
  </sheetViews>
  <sheetFormatPr defaultRowHeight="12.75" x14ac:dyDescent="0.2"/>
  <cols>
    <col min="1" max="1" width="37.5703125" style="614" customWidth="1"/>
    <col min="2" max="2" width="27.5703125" customWidth="1"/>
    <col min="3" max="3" width="18.5703125" customWidth="1"/>
    <col min="4" max="4" width="16.42578125" customWidth="1"/>
    <col min="5" max="5" width="18.7109375" customWidth="1"/>
    <col min="6" max="6" width="18" style="588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1511" t="s">
        <v>614</v>
      </c>
      <c r="B1" s="1511"/>
      <c r="C1" s="1511"/>
      <c r="D1" s="1511"/>
      <c r="E1" s="1511"/>
      <c r="F1" s="1511"/>
      <c r="G1" s="1511"/>
      <c r="H1" s="173"/>
      <c r="I1" s="173"/>
      <c r="J1" s="173"/>
    </row>
    <row r="2" spans="1:10" ht="12.75" customHeight="1" x14ac:dyDescent="0.2">
      <c r="A2" s="612"/>
      <c r="B2" s="173"/>
      <c r="C2" s="173"/>
      <c r="D2" s="173"/>
      <c r="E2" s="173"/>
      <c r="F2" s="613"/>
      <c r="G2" s="173"/>
      <c r="H2" s="173"/>
      <c r="I2" s="173"/>
      <c r="J2" s="173"/>
    </row>
    <row r="3" spans="1:10" ht="13.5" thickBot="1" x14ac:dyDescent="0.25">
      <c r="F3" s="981" t="s">
        <v>184</v>
      </c>
      <c r="G3" s="981"/>
    </row>
    <row r="4" spans="1:10" ht="16.5" thickBot="1" x14ac:dyDescent="0.3">
      <c r="A4" s="619" t="s">
        <v>73</v>
      </c>
      <c r="B4" s="620" t="s">
        <v>151</v>
      </c>
      <c r="C4" s="621" t="s">
        <v>147</v>
      </c>
      <c r="D4" s="622" t="s">
        <v>152</v>
      </c>
      <c r="E4" s="622" t="s">
        <v>149</v>
      </c>
      <c r="F4" s="623" t="s">
        <v>150</v>
      </c>
      <c r="G4" s="588"/>
    </row>
    <row r="5" spans="1:10" ht="24" x14ac:dyDescent="0.2">
      <c r="A5" s="1504" t="s">
        <v>165</v>
      </c>
      <c r="B5" s="624" t="s">
        <v>53</v>
      </c>
      <c r="C5" s="653"/>
      <c r="D5" s="654">
        <v>14569700</v>
      </c>
      <c r="E5" s="655">
        <v>14569700</v>
      </c>
      <c r="F5" s="825">
        <f>SUM(E5/D5*100)</f>
        <v>100</v>
      </c>
      <c r="G5" s="588"/>
    </row>
    <row r="6" spans="1:10" ht="36" x14ac:dyDescent="0.2">
      <c r="A6" s="1505"/>
      <c r="B6" s="629" t="s">
        <v>58</v>
      </c>
      <c r="C6" s="630"/>
      <c r="D6" s="631"/>
      <c r="E6" s="632"/>
      <c r="F6" s="825"/>
      <c r="G6" s="588"/>
    </row>
    <row r="7" spans="1:10" x14ac:dyDescent="0.2">
      <c r="A7" s="1505"/>
      <c r="B7" s="629" t="s">
        <v>71</v>
      </c>
      <c r="C7" s="630"/>
      <c r="D7" s="631"/>
      <c r="E7" s="632"/>
      <c r="F7" s="825"/>
      <c r="G7" s="588"/>
    </row>
    <row r="8" spans="1:10" ht="13.5" thickBot="1" x14ac:dyDescent="0.25">
      <c r="A8" s="1505"/>
      <c r="B8" s="629" t="s">
        <v>51</v>
      </c>
      <c r="C8" s="630">
        <v>770000</v>
      </c>
      <c r="D8" s="631">
        <v>770000</v>
      </c>
      <c r="E8" s="632">
        <v>355263</v>
      </c>
      <c r="F8" s="825">
        <f t="shared" ref="F8" si="0">SUM(E8/D8*100)</f>
        <v>46.138051948051952</v>
      </c>
      <c r="G8" s="588"/>
    </row>
    <row r="9" spans="1:10" ht="13.5" thickBot="1" x14ac:dyDescent="0.25">
      <c r="A9" s="1505"/>
      <c r="B9" s="629" t="s">
        <v>72</v>
      </c>
      <c r="C9" s="630"/>
      <c r="D9" s="631"/>
      <c r="E9" s="632">
        <v>2620</v>
      </c>
      <c r="F9" s="667"/>
      <c r="G9" s="588"/>
    </row>
    <row r="10" spans="1:10" ht="24.75" thickBot="1" x14ac:dyDescent="0.25">
      <c r="A10" s="1505"/>
      <c r="B10" s="629" t="s">
        <v>69</v>
      </c>
      <c r="C10" s="630"/>
      <c r="D10" s="631"/>
      <c r="E10" s="632"/>
      <c r="F10" s="667"/>
      <c r="G10" s="588"/>
    </row>
    <row r="11" spans="1:10" ht="24.75" thickBot="1" x14ac:dyDescent="0.25">
      <c r="A11" s="1505"/>
      <c r="B11" s="629" t="s">
        <v>60</v>
      </c>
      <c r="C11" s="634"/>
      <c r="D11" s="631"/>
      <c r="E11" s="632"/>
      <c r="F11" s="667"/>
      <c r="G11" s="588"/>
    </row>
    <row r="12" spans="1:10" x14ac:dyDescent="0.2">
      <c r="A12" s="1505"/>
      <c r="B12" s="629" t="s">
        <v>67</v>
      </c>
      <c r="C12" s="630"/>
      <c r="D12" s="631"/>
      <c r="E12" s="632"/>
      <c r="F12" s="667"/>
      <c r="G12" s="588"/>
    </row>
    <row r="13" spans="1:10" ht="13.5" thickBot="1" x14ac:dyDescent="0.25">
      <c r="A13" s="1506"/>
      <c r="B13" s="635" t="s">
        <v>11</v>
      </c>
      <c r="C13" s="636">
        <f>SUM(C5:C12)</f>
        <v>770000</v>
      </c>
      <c r="D13" s="637">
        <f>SUM(D5:D12)</f>
        <v>15339700</v>
      </c>
      <c r="E13" s="637">
        <f>SUM(E5:E12)</f>
        <v>14927583</v>
      </c>
      <c r="F13" s="638">
        <f>E13/D13*100</f>
        <v>97.313395959503765</v>
      </c>
      <c r="G13" s="588"/>
    </row>
    <row r="14" spans="1:10" ht="24" x14ac:dyDescent="0.2">
      <c r="A14" s="1504" t="s">
        <v>477</v>
      </c>
      <c r="B14" s="624" t="s">
        <v>53</v>
      </c>
      <c r="C14" s="625"/>
      <c r="D14" s="626">
        <v>457419</v>
      </c>
      <c r="E14" s="627"/>
      <c r="F14" s="633"/>
      <c r="G14" s="588"/>
    </row>
    <row r="15" spans="1:10" ht="36" x14ac:dyDescent="0.2">
      <c r="A15" s="1505"/>
      <c r="B15" s="629" t="s">
        <v>58</v>
      </c>
      <c r="C15" s="630"/>
      <c r="D15" s="631">
        <v>682319</v>
      </c>
      <c r="E15" s="632"/>
      <c r="F15" s="633"/>
      <c r="G15" s="588"/>
    </row>
    <row r="16" spans="1:10" x14ac:dyDescent="0.2">
      <c r="A16" s="1505"/>
      <c r="B16" s="629" t="s">
        <v>71</v>
      </c>
      <c r="C16" s="630"/>
      <c r="D16" s="631"/>
      <c r="E16" s="632"/>
      <c r="F16" s="633"/>
      <c r="G16" s="588"/>
    </row>
    <row r="17" spans="1:7" x14ac:dyDescent="0.2">
      <c r="A17" s="1505"/>
      <c r="B17" s="629" t="s">
        <v>51</v>
      </c>
      <c r="C17" s="630">
        <v>2540</v>
      </c>
      <c r="D17" s="631">
        <v>2540</v>
      </c>
      <c r="E17" s="632">
        <v>2170</v>
      </c>
      <c r="F17" s="633">
        <f>E17/D17*100</f>
        <v>85.433070866141733</v>
      </c>
      <c r="G17" s="588"/>
    </row>
    <row r="18" spans="1:7" x14ac:dyDescent="0.2">
      <c r="A18" s="1505"/>
      <c r="B18" s="629" t="s">
        <v>72</v>
      </c>
      <c r="C18" s="630"/>
      <c r="D18" s="631"/>
      <c r="E18" s="632"/>
      <c r="F18" s="633"/>
      <c r="G18" s="588"/>
    </row>
    <row r="19" spans="1:7" ht="24" x14ac:dyDescent="0.2">
      <c r="A19" s="1505"/>
      <c r="B19" s="629" t="s">
        <v>69</v>
      </c>
      <c r="C19" s="630"/>
      <c r="D19" s="631"/>
      <c r="E19" s="632"/>
      <c r="F19" s="633"/>
      <c r="G19" s="588"/>
    </row>
    <row r="20" spans="1:7" ht="24" x14ac:dyDescent="0.2">
      <c r="A20" s="1505"/>
      <c r="B20" s="629" t="s">
        <v>60</v>
      </c>
      <c r="C20" s="634"/>
      <c r="D20" s="631"/>
      <c r="E20" s="632"/>
      <c r="F20" s="633"/>
      <c r="G20" s="588"/>
    </row>
    <row r="21" spans="1:7" ht="13.5" thickBot="1" x14ac:dyDescent="0.25">
      <c r="A21" s="1505"/>
      <c r="B21" s="828" t="s">
        <v>67</v>
      </c>
      <c r="C21" s="830"/>
      <c r="D21" s="834"/>
      <c r="E21" s="833"/>
      <c r="F21" s="826"/>
      <c r="G21" s="588"/>
    </row>
    <row r="22" spans="1:7" ht="13.5" thickBot="1" x14ac:dyDescent="0.25">
      <c r="A22" s="1506"/>
      <c r="B22" s="829" t="s">
        <v>11</v>
      </c>
      <c r="C22" s="831">
        <f>SUM(C14:C21)</f>
        <v>2540</v>
      </c>
      <c r="D22" s="827">
        <f>SUM(D14:D21)</f>
        <v>1142278</v>
      </c>
      <c r="E22" s="827">
        <f>SUM(E14:E21)</f>
        <v>2170</v>
      </c>
      <c r="F22" s="827">
        <f>E22/D22*100</f>
        <v>0.18997126794002861</v>
      </c>
      <c r="G22" s="588"/>
    </row>
    <row r="23" spans="1:7" ht="24" x14ac:dyDescent="0.2">
      <c r="A23" s="1504" t="s">
        <v>11</v>
      </c>
      <c r="B23" s="642" t="s">
        <v>53</v>
      </c>
      <c r="C23" s="835">
        <f>C14+C5</f>
        <v>0</v>
      </c>
      <c r="D23" s="835">
        <f t="shared" ref="D23:E23" si="1">D14+D5</f>
        <v>15027119</v>
      </c>
      <c r="E23" s="835">
        <f t="shared" si="1"/>
        <v>14569700</v>
      </c>
      <c r="F23" s="824">
        <f>E23/D23*100</f>
        <v>96.956043270835877</v>
      </c>
      <c r="G23" s="588"/>
    </row>
    <row r="24" spans="1:7" ht="36" x14ac:dyDescent="0.2">
      <c r="A24" s="1505"/>
      <c r="B24" s="629" t="s">
        <v>58</v>
      </c>
      <c r="C24" s="835">
        <f t="shared" ref="C24:E30" si="2">C15+C6</f>
        <v>0</v>
      </c>
      <c r="D24" s="835">
        <f t="shared" si="2"/>
        <v>682319</v>
      </c>
      <c r="E24" s="835">
        <f t="shared" si="2"/>
        <v>0</v>
      </c>
      <c r="F24" s="824">
        <f t="shared" ref="F24:F31" si="3">E24/D24*100</f>
        <v>0</v>
      </c>
      <c r="G24" s="588"/>
    </row>
    <row r="25" spans="1:7" x14ac:dyDescent="0.2">
      <c r="A25" s="1505"/>
      <c r="B25" s="629" t="s">
        <v>71</v>
      </c>
      <c r="C25" s="835">
        <f t="shared" si="2"/>
        <v>0</v>
      </c>
      <c r="D25" s="835">
        <f t="shared" si="2"/>
        <v>0</v>
      </c>
      <c r="E25" s="835">
        <f t="shared" si="2"/>
        <v>0</v>
      </c>
      <c r="F25" s="824"/>
      <c r="G25" s="588"/>
    </row>
    <row r="26" spans="1:7" x14ac:dyDescent="0.2">
      <c r="A26" s="1505"/>
      <c r="B26" s="629" t="s">
        <v>51</v>
      </c>
      <c r="C26" s="835">
        <f t="shared" si="2"/>
        <v>772540</v>
      </c>
      <c r="D26" s="835">
        <f t="shared" si="2"/>
        <v>772540</v>
      </c>
      <c r="E26" s="835">
        <f t="shared" si="2"/>
        <v>357433</v>
      </c>
      <c r="F26" s="824">
        <f t="shared" si="3"/>
        <v>46.267248297822768</v>
      </c>
      <c r="G26" s="588"/>
    </row>
    <row r="27" spans="1:7" x14ac:dyDescent="0.2">
      <c r="A27" s="1505"/>
      <c r="B27" s="629" t="s">
        <v>72</v>
      </c>
      <c r="C27" s="835">
        <f t="shared" si="2"/>
        <v>0</v>
      </c>
      <c r="D27" s="835">
        <f t="shared" si="2"/>
        <v>0</v>
      </c>
      <c r="E27" s="835">
        <f t="shared" si="2"/>
        <v>2620</v>
      </c>
      <c r="F27" s="824"/>
      <c r="G27" s="588"/>
    </row>
    <row r="28" spans="1:7" ht="24" x14ac:dyDescent="0.2">
      <c r="A28" s="1505"/>
      <c r="B28" s="629" t="s">
        <v>69</v>
      </c>
      <c r="C28" s="835">
        <f t="shared" si="2"/>
        <v>0</v>
      </c>
      <c r="D28" s="835">
        <f t="shared" si="2"/>
        <v>0</v>
      </c>
      <c r="E28" s="835">
        <f t="shared" si="2"/>
        <v>0</v>
      </c>
      <c r="F28" s="824"/>
      <c r="G28" s="588"/>
    </row>
    <row r="29" spans="1:7" ht="24" x14ac:dyDescent="0.2">
      <c r="A29" s="1505"/>
      <c r="B29" s="629" t="s">
        <v>60</v>
      </c>
      <c r="C29" s="835">
        <f t="shared" si="2"/>
        <v>0</v>
      </c>
      <c r="D29" s="835">
        <f t="shared" si="2"/>
        <v>0</v>
      </c>
      <c r="E29" s="835">
        <f t="shared" si="2"/>
        <v>0</v>
      </c>
      <c r="F29" s="824"/>
      <c r="G29" s="588"/>
    </row>
    <row r="30" spans="1:7" x14ac:dyDescent="0.2">
      <c r="A30" s="1505"/>
      <c r="B30" s="629" t="s">
        <v>67</v>
      </c>
      <c r="C30" s="835">
        <f t="shared" si="2"/>
        <v>0</v>
      </c>
      <c r="D30" s="835">
        <f t="shared" si="2"/>
        <v>0</v>
      </c>
      <c r="E30" s="835">
        <f t="shared" si="2"/>
        <v>0</v>
      </c>
      <c r="F30" s="824"/>
      <c r="G30" s="588"/>
    </row>
    <row r="31" spans="1:7" ht="13.5" thickBot="1" x14ac:dyDescent="0.25">
      <c r="A31" s="1506"/>
      <c r="B31" s="635" t="s">
        <v>11</v>
      </c>
      <c r="C31" s="835">
        <f>SUM(C23:C30)</f>
        <v>772540</v>
      </c>
      <c r="D31" s="835">
        <f t="shared" ref="D31:E31" si="4">SUM(D23:D30)</f>
        <v>16481978</v>
      </c>
      <c r="E31" s="835">
        <f t="shared" si="4"/>
        <v>14929753</v>
      </c>
      <c r="F31" s="824">
        <f t="shared" si="3"/>
        <v>90.582289334447594</v>
      </c>
      <c r="G31" s="588"/>
    </row>
  </sheetData>
  <mergeCells count="4">
    <mergeCell ref="A23:A31"/>
    <mergeCell ref="A14:A22"/>
    <mergeCell ref="A5:A13"/>
    <mergeCell ref="A1:G1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&amp;R1.1)b.sz. melléklete
...../2020.(VI.25.) Egyek Önk.</oddHeader>
  </headerFooter>
  <colBreaks count="1" manualBreakCount="1">
    <brk id="7" max="1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120" zoomScaleNormal="120" workbookViewId="0">
      <selection activeCell="G4" sqref="G4"/>
    </sheetView>
  </sheetViews>
  <sheetFormatPr defaultRowHeight="12.75" x14ac:dyDescent="0.2"/>
  <cols>
    <col min="1" max="1" width="35.5703125" customWidth="1"/>
    <col min="2" max="2" width="30.7109375" customWidth="1"/>
    <col min="3" max="3" width="20.28515625" customWidth="1"/>
    <col min="4" max="4" width="20.28515625" style="588" customWidth="1"/>
    <col min="5" max="5" width="17" style="588" customWidth="1"/>
    <col min="6" max="6" width="17.42578125" style="284" customWidth="1"/>
    <col min="9" max="9" width="10" bestFit="1" customWidth="1"/>
    <col min="10" max="10" width="12.7109375" customWidth="1"/>
  </cols>
  <sheetData>
    <row r="1" spans="1:7" ht="15.75" customHeight="1" x14ac:dyDescent="0.2">
      <c r="A1" s="1517" t="s">
        <v>615</v>
      </c>
      <c r="B1" s="1517"/>
      <c r="C1" s="1517"/>
      <c r="D1" s="1517"/>
      <c r="E1" s="1517"/>
      <c r="F1" s="1517"/>
    </row>
    <row r="2" spans="1:7" ht="15.75" customHeight="1" x14ac:dyDescent="0.2">
      <c r="A2" s="1517"/>
      <c r="B2" s="1517"/>
      <c r="C2" s="1517"/>
      <c r="D2" s="1517"/>
      <c r="E2" s="1517"/>
      <c r="F2" s="1517"/>
    </row>
    <row r="3" spans="1:7" x14ac:dyDescent="0.2">
      <c r="F3" s="1231" t="s">
        <v>184</v>
      </c>
      <c r="G3" s="1230"/>
    </row>
    <row r="4" spans="1:7" ht="13.5" thickBot="1" x14ac:dyDescent="0.25"/>
    <row r="5" spans="1:7" ht="16.5" thickBot="1" x14ac:dyDescent="0.3">
      <c r="A5" s="292" t="s">
        <v>73</v>
      </c>
      <c r="B5" s="293" t="s">
        <v>151</v>
      </c>
      <c r="C5" s="293" t="s">
        <v>147</v>
      </c>
      <c r="D5" s="589" t="s">
        <v>152</v>
      </c>
      <c r="E5" s="589" t="s">
        <v>149</v>
      </c>
      <c r="F5" s="294" t="s">
        <v>150</v>
      </c>
    </row>
    <row r="6" spans="1:7" ht="24" x14ac:dyDescent="0.2">
      <c r="A6" s="1518" t="s">
        <v>80</v>
      </c>
      <c r="B6" s="1114" t="s">
        <v>53</v>
      </c>
      <c r="C6" s="1116">
        <v>0</v>
      </c>
      <c r="D6" s="577">
        <v>2974344</v>
      </c>
      <c r="E6" s="577">
        <v>5684793</v>
      </c>
      <c r="F6" s="596">
        <f t="shared" ref="F6" si="0">E6/D6*100</f>
        <v>191.12762343562144</v>
      </c>
    </row>
    <row r="7" spans="1:7" ht="24" x14ac:dyDescent="0.2">
      <c r="A7" s="1519"/>
      <c r="B7" s="1115" t="s">
        <v>58</v>
      </c>
      <c r="C7" s="1117"/>
      <c r="D7" s="579"/>
      <c r="E7" s="579"/>
      <c r="F7" s="596"/>
    </row>
    <row r="8" spans="1:7" x14ac:dyDescent="0.2">
      <c r="A8" s="1519"/>
      <c r="B8" s="1115" t="s">
        <v>71</v>
      </c>
      <c r="C8" s="1117"/>
      <c r="D8" s="579"/>
      <c r="E8" s="579"/>
      <c r="F8" s="596"/>
    </row>
    <row r="9" spans="1:7" x14ac:dyDescent="0.2">
      <c r="A9" s="1519"/>
      <c r="B9" s="1115" t="s">
        <v>51</v>
      </c>
      <c r="C9" s="1117">
        <v>32000</v>
      </c>
      <c r="D9" s="579">
        <v>211531</v>
      </c>
      <c r="E9" s="579">
        <v>164119</v>
      </c>
      <c r="F9" s="596">
        <f>E9/D9*100</f>
        <v>77.586263951855756</v>
      </c>
    </row>
    <row r="10" spans="1:7" x14ac:dyDescent="0.2">
      <c r="A10" s="1519"/>
      <c r="B10" s="1115" t="s">
        <v>72</v>
      </c>
      <c r="C10" s="1117"/>
      <c r="D10" s="579"/>
      <c r="E10" s="579">
        <v>9937</v>
      </c>
      <c r="F10" s="285"/>
    </row>
    <row r="11" spans="1:7" ht="24" x14ac:dyDescent="0.2">
      <c r="A11" s="1519"/>
      <c r="B11" s="1115" t="s">
        <v>69</v>
      </c>
      <c r="C11" s="1117"/>
      <c r="D11" s="579"/>
      <c r="E11" s="579"/>
      <c r="F11" s="285"/>
    </row>
    <row r="12" spans="1:7" ht="24" x14ac:dyDescent="0.2">
      <c r="A12" s="1519"/>
      <c r="B12" s="1115" t="s">
        <v>60</v>
      </c>
      <c r="C12" s="1118"/>
      <c r="D12" s="579"/>
      <c r="E12" s="579"/>
      <c r="F12" s="285"/>
    </row>
    <row r="13" spans="1:7" x14ac:dyDescent="0.2">
      <c r="A13" s="1519"/>
      <c r="B13" s="1115" t="s">
        <v>67</v>
      </c>
      <c r="C13" s="1117">
        <v>2223852</v>
      </c>
      <c r="D13" s="579">
        <v>2223852</v>
      </c>
      <c r="E13" s="579"/>
      <c r="F13" s="285"/>
    </row>
    <row r="14" spans="1:7" ht="13.5" thickBot="1" x14ac:dyDescent="0.25">
      <c r="A14" s="1520"/>
      <c r="B14" s="615" t="s">
        <v>11</v>
      </c>
      <c r="C14" s="597">
        <f>SUM(C6:C13)</f>
        <v>2255852</v>
      </c>
      <c r="D14" s="582">
        <f>SUM(D6:D13)</f>
        <v>5409727</v>
      </c>
      <c r="E14" s="582">
        <f>SUM(E6:E13)</f>
        <v>5858849</v>
      </c>
      <c r="F14" s="288">
        <f>E14/D14*100</f>
        <v>108.30211949697276</v>
      </c>
    </row>
    <row r="15" spans="1:7" ht="24" x14ac:dyDescent="0.2">
      <c r="A15" s="1521" t="s">
        <v>616</v>
      </c>
      <c r="B15" s="289" t="s">
        <v>53</v>
      </c>
      <c r="C15" s="290"/>
      <c r="D15" s="584">
        <v>4020674</v>
      </c>
      <c r="E15" s="584">
        <v>4020674</v>
      </c>
      <c r="F15" s="291">
        <f>E15/D15%</f>
        <v>100</v>
      </c>
    </row>
    <row r="16" spans="1:7" ht="24" x14ac:dyDescent="0.2">
      <c r="A16" s="1522"/>
      <c r="B16" s="170" t="s">
        <v>58</v>
      </c>
      <c r="C16" s="79"/>
      <c r="D16" s="579"/>
      <c r="E16" s="579"/>
      <c r="F16" s="285"/>
    </row>
    <row r="17" spans="1:6" x14ac:dyDescent="0.2">
      <c r="A17" s="1522"/>
      <c r="B17" s="170" t="s">
        <v>71</v>
      </c>
      <c r="C17" s="79"/>
      <c r="D17" s="579"/>
      <c r="E17" s="579"/>
      <c r="F17" s="285"/>
    </row>
    <row r="18" spans="1:6" x14ac:dyDescent="0.2">
      <c r="A18" s="1522"/>
      <c r="B18" s="170" t="s">
        <v>51</v>
      </c>
      <c r="C18" s="79"/>
      <c r="D18" s="579"/>
      <c r="E18" s="579"/>
      <c r="F18" s="285"/>
    </row>
    <row r="19" spans="1:6" x14ac:dyDescent="0.2">
      <c r="A19" s="1522"/>
      <c r="B19" s="170" t="s">
        <v>72</v>
      </c>
      <c r="C19" s="79"/>
      <c r="D19" s="579"/>
      <c r="E19" s="579"/>
      <c r="F19" s="285"/>
    </row>
    <row r="20" spans="1:6" ht="24" x14ac:dyDescent="0.2">
      <c r="A20" s="1522"/>
      <c r="B20" s="170" t="s">
        <v>69</v>
      </c>
      <c r="C20" s="79"/>
      <c r="D20" s="579"/>
      <c r="E20" s="579"/>
      <c r="F20" s="285"/>
    </row>
    <row r="21" spans="1:6" ht="24" x14ac:dyDescent="0.2">
      <c r="A21" s="1522"/>
      <c r="B21" s="170" t="s">
        <v>60</v>
      </c>
      <c r="C21" s="172"/>
      <c r="D21" s="579"/>
      <c r="E21" s="579"/>
      <c r="F21" s="285"/>
    </row>
    <row r="22" spans="1:6" x14ac:dyDescent="0.2">
      <c r="A22" s="1522"/>
      <c r="B22" s="170" t="s">
        <v>67</v>
      </c>
      <c r="C22" s="79"/>
      <c r="D22" s="579"/>
      <c r="E22" s="579"/>
      <c r="F22" s="285"/>
    </row>
    <row r="23" spans="1:6" ht="13.5" thickBot="1" x14ac:dyDescent="0.25">
      <c r="A23" s="1523"/>
      <c r="B23" s="233" t="s">
        <v>11</v>
      </c>
      <c r="C23" s="234">
        <f>SUM(C15:C22)</f>
        <v>0</v>
      </c>
      <c r="D23" s="585">
        <f>SUM(D15:D22)</f>
        <v>4020674</v>
      </c>
      <c r="E23" s="585">
        <f>SUM(E15:E22)</f>
        <v>4020674</v>
      </c>
      <c r="F23" s="286">
        <f>E23/D23%</f>
        <v>100</v>
      </c>
    </row>
    <row r="24" spans="1:6" ht="24" customHeight="1" x14ac:dyDescent="0.2">
      <c r="A24" s="1514" t="s">
        <v>362</v>
      </c>
      <c r="B24" s="590" t="s">
        <v>53</v>
      </c>
      <c r="C24" s="591"/>
      <c r="D24" s="592"/>
      <c r="E24" s="592"/>
      <c r="F24" s="604"/>
    </row>
    <row r="25" spans="1:6" ht="24" x14ac:dyDescent="0.2">
      <c r="A25" s="1515"/>
      <c r="B25" s="593" t="s">
        <v>58</v>
      </c>
      <c r="C25" s="594"/>
      <c r="D25" s="595"/>
      <c r="E25" s="595"/>
      <c r="F25" s="596"/>
    </row>
    <row r="26" spans="1:6" x14ac:dyDescent="0.2">
      <c r="A26" s="1515"/>
      <c r="B26" s="593" t="s">
        <v>71</v>
      </c>
      <c r="C26" s="594"/>
      <c r="D26" s="595"/>
      <c r="E26" s="595"/>
      <c r="F26" s="596"/>
    </row>
    <row r="27" spans="1:6" x14ac:dyDescent="0.2">
      <c r="A27" s="1515"/>
      <c r="B27" s="593" t="s">
        <v>51</v>
      </c>
      <c r="C27" s="594"/>
      <c r="D27" s="595"/>
      <c r="E27" s="595"/>
      <c r="F27" s="596"/>
    </row>
    <row r="28" spans="1:6" x14ac:dyDescent="0.2">
      <c r="A28" s="1515"/>
      <c r="B28" s="593" t="s">
        <v>72</v>
      </c>
      <c r="C28" s="594"/>
      <c r="D28" s="595"/>
      <c r="E28" s="595"/>
      <c r="F28" s="596"/>
    </row>
    <row r="29" spans="1:6" ht="24" x14ac:dyDescent="0.2">
      <c r="A29" s="1515"/>
      <c r="B29" s="593" t="s">
        <v>69</v>
      </c>
      <c r="C29" s="594"/>
      <c r="D29" s="595"/>
      <c r="E29" s="595"/>
      <c r="F29" s="596"/>
    </row>
    <row r="30" spans="1:6" ht="24" x14ac:dyDescent="0.2">
      <c r="A30" s="1515"/>
      <c r="B30" s="593" t="s">
        <v>60</v>
      </c>
      <c r="C30" s="594"/>
      <c r="D30" s="595"/>
      <c r="E30" s="595"/>
      <c r="F30" s="596"/>
    </row>
    <row r="31" spans="1:6" x14ac:dyDescent="0.2">
      <c r="A31" s="1515"/>
      <c r="B31" s="593" t="s">
        <v>67</v>
      </c>
      <c r="C31" s="594">
        <v>134717752</v>
      </c>
      <c r="D31" s="595">
        <v>147280500</v>
      </c>
      <c r="E31" s="595">
        <v>135842313</v>
      </c>
      <c r="F31" s="596">
        <f>E31/D31%</f>
        <v>92.233739700775047</v>
      </c>
    </row>
    <row r="32" spans="1:6" ht="13.5" thickBot="1" x14ac:dyDescent="0.25">
      <c r="A32" s="1516"/>
      <c r="B32" s="598" t="s">
        <v>11</v>
      </c>
      <c r="C32" s="597">
        <f>SUM(C24:C31)</f>
        <v>134717752</v>
      </c>
      <c r="D32" s="85">
        <f>SUM(D24:D31)</f>
        <v>147280500</v>
      </c>
      <c r="E32" s="85">
        <f>SUM(E24:E31)</f>
        <v>135842313</v>
      </c>
      <c r="F32" s="288">
        <f>E32/D32%</f>
        <v>92.233739700775047</v>
      </c>
    </row>
    <row r="33" spans="1:6" ht="24.75" thickBot="1" x14ac:dyDescent="0.25">
      <c r="A33" s="1514" t="s">
        <v>11</v>
      </c>
      <c r="B33" s="599" t="s">
        <v>53</v>
      </c>
      <c r="C33" s="609">
        <f t="shared" ref="C33:E40" si="1">SUM(C24+C15+C6)</f>
        <v>0</v>
      </c>
      <c r="D33" s="609">
        <f t="shared" si="1"/>
        <v>6995018</v>
      </c>
      <c r="E33" s="609">
        <f t="shared" si="1"/>
        <v>9705467</v>
      </c>
      <c r="F33" s="610"/>
    </row>
    <row r="34" spans="1:6" ht="24.75" thickBot="1" x14ac:dyDescent="0.25">
      <c r="A34" s="1515"/>
      <c r="B34" s="599" t="s">
        <v>58</v>
      </c>
      <c r="C34" s="605">
        <f t="shared" si="1"/>
        <v>0</v>
      </c>
      <c r="D34" s="605">
        <f t="shared" si="1"/>
        <v>0</v>
      </c>
      <c r="E34" s="605">
        <f t="shared" si="1"/>
        <v>0</v>
      </c>
      <c r="F34" s="602"/>
    </row>
    <row r="35" spans="1:6" ht="13.5" thickBot="1" x14ac:dyDescent="0.25">
      <c r="A35" s="1515"/>
      <c r="B35" s="599" t="s">
        <v>71</v>
      </c>
      <c r="C35" s="605">
        <f t="shared" si="1"/>
        <v>0</v>
      </c>
      <c r="D35" s="605">
        <f t="shared" si="1"/>
        <v>0</v>
      </c>
      <c r="E35" s="605">
        <f t="shared" si="1"/>
        <v>0</v>
      </c>
      <c r="F35" s="602"/>
    </row>
    <row r="36" spans="1:6" ht="13.5" thickBot="1" x14ac:dyDescent="0.25">
      <c r="A36" s="1515"/>
      <c r="B36" s="606" t="s">
        <v>51</v>
      </c>
      <c r="C36" s="605">
        <f t="shared" si="1"/>
        <v>32000</v>
      </c>
      <c r="D36" s="605">
        <f t="shared" si="1"/>
        <v>211531</v>
      </c>
      <c r="E36" s="605">
        <f t="shared" si="1"/>
        <v>164119</v>
      </c>
      <c r="F36" s="602">
        <f t="shared" ref="F36:F41" si="2">E36/D36*100</f>
        <v>77.586263951855756</v>
      </c>
    </row>
    <row r="37" spans="1:6" ht="13.5" thickBot="1" x14ac:dyDescent="0.25">
      <c r="A37" s="1515"/>
      <c r="B37" s="599" t="s">
        <v>72</v>
      </c>
      <c r="C37" s="605">
        <f t="shared" si="1"/>
        <v>0</v>
      </c>
      <c r="D37" s="605">
        <f t="shared" si="1"/>
        <v>0</v>
      </c>
      <c r="E37" s="605">
        <f t="shared" si="1"/>
        <v>9937</v>
      </c>
      <c r="F37" s="607"/>
    </row>
    <row r="38" spans="1:6" ht="24.75" thickBot="1" x14ac:dyDescent="0.25">
      <c r="A38" s="1515"/>
      <c r="B38" s="599" t="s">
        <v>69</v>
      </c>
      <c r="C38" s="605">
        <f t="shared" si="1"/>
        <v>0</v>
      </c>
      <c r="D38" s="605">
        <f t="shared" si="1"/>
        <v>0</v>
      </c>
      <c r="E38" s="605">
        <f t="shared" si="1"/>
        <v>0</v>
      </c>
      <c r="F38" s="602"/>
    </row>
    <row r="39" spans="1:6" ht="24.75" thickBot="1" x14ac:dyDescent="0.25">
      <c r="A39" s="1515"/>
      <c r="B39" s="599" t="s">
        <v>60</v>
      </c>
      <c r="C39" s="605">
        <f t="shared" si="1"/>
        <v>0</v>
      </c>
      <c r="D39" s="605">
        <f t="shared" si="1"/>
        <v>0</v>
      </c>
      <c r="E39" s="605">
        <f t="shared" si="1"/>
        <v>0</v>
      </c>
      <c r="F39" s="607"/>
    </row>
    <row r="40" spans="1:6" ht="13.5" thickBot="1" x14ac:dyDescent="0.25">
      <c r="A40" s="1515"/>
      <c r="B40" s="599" t="s">
        <v>67</v>
      </c>
      <c r="C40" s="605">
        <f t="shared" si="1"/>
        <v>136941604</v>
      </c>
      <c r="D40" s="605">
        <f t="shared" si="1"/>
        <v>149504352</v>
      </c>
      <c r="E40" s="605">
        <f t="shared" si="1"/>
        <v>135842313</v>
      </c>
      <c r="F40" s="602">
        <f t="shared" si="2"/>
        <v>90.861778391574845</v>
      </c>
    </row>
    <row r="41" spans="1:6" ht="13.5" thickBot="1" x14ac:dyDescent="0.25">
      <c r="A41" s="1516"/>
      <c r="B41" s="608" t="s">
        <v>11</v>
      </c>
      <c r="C41" s="609">
        <f>SUM(C33:C40)</f>
        <v>136973604</v>
      </c>
      <c r="D41" s="609">
        <f>SUM(D33:D40)</f>
        <v>156710901</v>
      </c>
      <c r="E41" s="609">
        <f>SUM(E33:E40)</f>
        <v>145721836</v>
      </c>
      <c r="F41" s="610">
        <f t="shared" si="2"/>
        <v>92.987683096787237</v>
      </c>
    </row>
    <row r="42" spans="1:6" x14ac:dyDescent="0.2">
      <c r="F42" s="611"/>
    </row>
  </sheetData>
  <mergeCells count="5">
    <mergeCell ref="A24:A32"/>
    <mergeCell ref="A33:A41"/>
    <mergeCell ref="A1:F2"/>
    <mergeCell ref="A6:A14"/>
    <mergeCell ref="A15:A23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scaleWithDoc="0" alignWithMargins="0">
    <oddHeader>&amp;R1.2.sz. melléklete
...../2020.(VI.25.) Egyek Önk.</oddHeader>
  </headerFooter>
  <rowBreaks count="1" manualBreakCount="1">
    <brk id="4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4" zoomScaleNormal="100" workbookViewId="0">
      <selection activeCell="D45" sqref="D45"/>
    </sheetView>
  </sheetViews>
  <sheetFormatPr defaultRowHeight="12.75" x14ac:dyDescent="0.2"/>
  <cols>
    <col min="1" max="1" width="35.5703125" customWidth="1"/>
    <col min="2" max="2" width="30.7109375" customWidth="1"/>
    <col min="3" max="4" width="20.28515625" customWidth="1"/>
    <col min="5" max="5" width="17" customWidth="1"/>
    <col min="6" max="6" width="16.28515625" customWidth="1"/>
    <col min="9" max="9" width="10" bestFit="1" customWidth="1"/>
    <col min="10" max="10" width="12.7109375" customWidth="1"/>
  </cols>
  <sheetData>
    <row r="1" spans="1:6" ht="15.75" customHeight="1" x14ac:dyDescent="0.2">
      <c r="A1" s="1517" t="s">
        <v>617</v>
      </c>
      <c r="B1" s="1517"/>
      <c r="C1" s="1517"/>
      <c r="D1" s="1517"/>
      <c r="E1" s="1517"/>
      <c r="F1" s="1517"/>
    </row>
    <row r="2" spans="1:6" ht="15.75" customHeight="1" x14ac:dyDescent="0.2">
      <c r="A2" s="1517"/>
      <c r="B2" s="1517"/>
      <c r="C2" s="1517"/>
      <c r="D2" s="1517"/>
      <c r="E2" s="1517"/>
      <c r="F2" s="1517"/>
    </row>
    <row r="3" spans="1:6" x14ac:dyDescent="0.2">
      <c r="E3" s="1527" t="s">
        <v>184</v>
      </c>
      <c r="F3" s="1527"/>
    </row>
    <row r="4" spans="1:6" ht="13.5" thickBot="1" x14ac:dyDescent="0.25"/>
    <row r="5" spans="1:6" ht="16.5" thickBot="1" x14ac:dyDescent="0.3">
      <c r="A5" s="292" t="s">
        <v>73</v>
      </c>
      <c r="B5" s="293" t="s">
        <v>151</v>
      </c>
      <c r="C5" s="293" t="s">
        <v>147</v>
      </c>
      <c r="D5" s="589" t="s">
        <v>152</v>
      </c>
      <c r="E5" s="589" t="s">
        <v>149</v>
      </c>
      <c r="F5" s="294" t="s">
        <v>150</v>
      </c>
    </row>
    <row r="6" spans="1:6" ht="24" x14ac:dyDescent="0.2">
      <c r="A6" s="1518" t="s">
        <v>80</v>
      </c>
      <c r="B6" s="1114" t="s">
        <v>53</v>
      </c>
      <c r="C6" s="1116">
        <v>0</v>
      </c>
      <c r="D6" s="577">
        <v>2974344</v>
      </c>
      <c r="E6" s="577">
        <v>5684793</v>
      </c>
      <c r="F6" s="596">
        <f t="shared" ref="F6" si="0">E6/D6*100</f>
        <v>191.12762343562144</v>
      </c>
    </row>
    <row r="7" spans="1:6" ht="24" x14ac:dyDescent="0.2">
      <c r="A7" s="1519"/>
      <c r="B7" s="1115" t="s">
        <v>58</v>
      </c>
      <c r="C7" s="1117"/>
      <c r="D7" s="579"/>
      <c r="E7" s="579"/>
      <c r="F7" s="596"/>
    </row>
    <row r="8" spans="1:6" x14ac:dyDescent="0.2">
      <c r="A8" s="1519"/>
      <c r="B8" s="1115" t="s">
        <v>71</v>
      </c>
      <c r="C8" s="1117"/>
      <c r="D8" s="579"/>
      <c r="E8" s="579"/>
      <c r="F8" s="596"/>
    </row>
    <row r="9" spans="1:6" x14ac:dyDescent="0.2">
      <c r="A9" s="1519"/>
      <c r="B9" s="1115" t="s">
        <v>51</v>
      </c>
      <c r="C9" s="1117">
        <v>32000</v>
      </c>
      <c r="D9" s="579">
        <v>211531</v>
      </c>
      <c r="E9" s="579">
        <v>164119</v>
      </c>
      <c r="F9" s="596">
        <f>E9/D9*100</f>
        <v>77.586263951855756</v>
      </c>
    </row>
    <row r="10" spans="1:6" x14ac:dyDescent="0.2">
      <c r="A10" s="1519"/>
      <c r="B10" s="1115" t="s">
        <v>72</v>
      </c>
      <c r="C10" s="1117"/>
      <c r="D10" s="579"/>
      <c r="E10" s="579">
        <v>9937</v>
      </c>
      <c r="F10" s="285"/>
    </row>
    <row r="11" spans="1:6" ht="24" x14ac:dyDescent="0.2">
      <c r="A11" s="1519"/>
      <c r="B11" s="1115" t="s">
        <v>69</v>
      </c>
      <c r="C11" s="1117"/>
      <c r="D11" s="579"/>
      <c r="E11" s="579"/>
      <c r="F11" s="285"/>
    </row>
    <row r="12" spans="1:6" ht="24" x14ac:dyDescent="0.2">
      <c r="A12" s="1519"/>
      <c r="B12" s="1115" t="s">
        <v>60</v>
      </c>
      <c r="C12" s="1118"/>
      <c r="D12" s="579"/>
      <c r="E12" s="579"/>
      <c r="F12" s="285"/>
    </row>
    <row r="13" spans="1:6" x14ac:dyDescent="0.2">
      <c r="A13" s="1519"/>
      <c r="B13" s="1115" t="s">
        <v>67</v>
      </c>
      <c r="C13" s="1117">
        <v>2223852</v>
      </c>
      <c r="D13" s="579">
        <v>2223852</v>
      </c>
      <c r="E13" s="579"/>
      <c r="F13" s="285"/>
    </row>
    <row r="14" spans="1:6" ht="13.5" thickBot="1" x14ac:dyDescent="0.25">
      <c r="A14" s="1520"/>
      <c r="B14" s="615" t="s">
        <v>11</v>
      </c>
      <c r="C14" s="597">
        <f>SUM(C6:C13)</f>
        <v>2255852</v>
      </c>
      <c r="D14" s="582">
        <f>SUM(D6:D13)</f>
        <v>5409727</v>
      </c>
      <c r="E14" s="582">
        <f>SUM(E6:E13)</f>
        <v>5858849</v>
      </c>
      <c r="F14" s="288">
        <f>E14/D14*100</f>
        <v>108.30211949697276</v>
      </c>
    </row>
    <row r="15" spans="1:6" ht="24" x14ac:dyDescent="0.2">
      <c r="A15" s="1521" t="s">
        <v>616</v>
      </c>
      <c r="B15" s="289" t="s">
        <v>53</v>
      </c>
      <c r="C15" s="290"/>
      <c r="D15" s="584">
        <v>4020674</v>
      </c>
      <c r="E15" s="584">
        <v>4020674</v>
      </c>
      <c r="F15" s="291">
        <f>E15/D15%</f>
        <v>100</v>
      </c>
    </row>
    <row r="16" spans="1:6" ht="24" x14ac:dyDescent="0.2">
      <c r="A16" s="1522"/>
      <c r="B16" s="170" t="s">
        <v>58</v>
      </c>
      <c r="C16" s="79"/>
      <c r="D16" s="579"/>
      <c r="E16" s="579"/>
      <c r="F16" s="285"/>
    </row>
    <row r="17" spans="1:6" x14ac:dyDescent="0.2">
      <c r="A17" s="1522"/>
      <c r="B17" s="170" t="s">
        <v>71</v>
      </c>
      <c r="C17" s="79"/>
      <c r="D17" s="579"/>
      <c r="E17" s="579"/>
      <c r="F17" s="285"/>
    </row>
    <row r="18" spans="1:6" x14ac:dyDescent="0.2">
      <c r="A18" s="1522"/>
      <c r="B18" s="170" t="s">
        <v>51</v>
      </c>
      <c r="C18" s="79"/>
      <c r="D18" s="579"/>
      <c r="E18" s="579"/>
      <c r="F18" s="285"/>
    </row>
    <row r="19" spans="1:6" x14ac:dyDescent="0.2">
      <c r="A19" s="1522"/>
      <c r="B19" s="170" t="s">
        <v>72</v>
      </c>
      <c r="C19" s="79"/>
      <c r="D19" s="579"/>
      <c r="E19" s="579"/>
      <c r="F19" s="285"/>
    </row>
    <row r="20" spans="1:6" ht="24" x14ac:dyDescent="0.2">
      <c r="A20" s="1522"/>
      <c r="B20" s="170" t="s">
        <v>69</v>
      </c>
      <c r="C20" s="79"/>
      <c r="D20" s="579"/>
      <c r="E20" s="579"/>
      <c r="F20" s="285"/>
    </row>
    <row r="21" spans="1:6" ht="24" x14ac:dyDescent="0.2">
      <c r="A21" s="1522"/>
      <c r="B21" s="170" t="s">
        <v>60</v>
      </c>
      <c r="C21" s="172"/>
      <c r="D21" s="579"/>
      <c r="E21" s="579"/>
      <c r="F21" s="285"/>
    </row>
    <row r="22" spans="1:6" x14ac:dyDescent="0.2">
      <c r="A22" s="1522"/>
      <c r="B22" s="170" t="s">
        <v>67</v>
      </c>
      <c r="C22" s="79"/>
      <c r="D22" s="579"/>
      <c r="E22" s="579"/>
      <c r="F22" s="285"/>
    </row>
    <row r="23" spans="1:6" ht="13.5" thickBot="1" x14ac:dyDescent="0.25">
      <c r="A23" s="1523"/>
      <c r="B23" s="233" t="s">
        <v>11</v>
      </c>
      <c r="C23" s="234">
        <f>SUM(C15:C22)</f>
        <v>0</v>
      </c>
      <c r="D23" s="585">
        <f>SUM(D15:D22)</f>
        <v>4020674</v>
      </c>
      <c r="E23" s="585">
        <f>SUM(E15:E22)</f>
        <v>4020674</v>
      </c>
      <c r="F23" s="286">
        <f>E23/D23%</f>
        <v>100</v>
      </c>
    </row>
    <row r="24" spans="1:6" ht="24" customHeight="1" x14ac:dyDescent="0.2">
      <c r="A24" s="1514" t="s">
        <v>362</v>
      </c>
      <c r="B24" s="590" t="s">
        <v>53</v>
      </c>
      <c r="C24" s="591"/>
      <c r="D24" s="592"/>
      <c r="E24" s="592"/>
      <c r="F24" s="604"/>
    </row>
    <row r="25" spans="1:6" ht="24" x14ac:dyDescent="0.2">
      <c r="A25" s="1515"/>
      <c r="B25" s="593" t="s">
        <v>58</v>
      </c>
      <c r="C25" s="594"/>
      <c r="D25" s="595"/>
      <c r="E25" s="595"/>
      <c r="F25" s="596"/>
    </row>
    <row r="26" spans="1:6" x14ac:dyDescent="0.2">
      <c r="A26" s="1515"/>
      <c r="B26" s="593" t="s">
        <v>71</v>
      </c>
      <c r="C26" s="594"/>
      <c r="D26" s="595"/>
      <c r="E26" s="595"/>
      <c r="F26" s="596"/>
    </row>
    <row r="27" spans="1:6" x14ac:dyDescent="0.2">
      <c r="A27" s="1515"/>
      <c r="B27" s="593" t="s">
        <v>51</v>
      </c>
      <c r="C27" s="594"/>
      <c r="D27" s="595"/>
      <c r="E27" s="595"/>
      <c r="F27" s="596"/>
    </row>
    <row r="28" spans="1:6" x14ac:dyDescent="0.2">
      <c r="A28" s="1515"/>
      <c r="B28" s="593" t="s">
        <v>72</v>
      </c>
      <c r="C28" s="594"/>
      <c r="D28" s="595"/>
      <c r="E28" s="595"/>
      <c r="F28" s="596"/>
    </row>
    <row r="29" spans="1:6" ht="24" x14ac:dyDescent="0.2">
      <c r="A29" s="1515"/>
      <c r="B29" s="593" t="s">
        <v>69</v>
      </c>
      <c r="C29" s="594"/>
      <c r="D29" s="595"/>
      <c r="E29" s="595"/>
      <c r="F29" s="596"/>
    </row>
    <row r="30" spans="1:6" ht="24" x14ac:dyDescent="0.2">
      <c r="A30" s="1515"/>
      <c r="B30" s="593" t="s">
        <v>60</v>
      </c>
      <c r="C30" s="594"/>
      <c r="D30" s="595"/>
      <c r="E30" s="595"/>
      <c r="F30" s="596"/>
    </row>
    <row r="31" spans="1:6" x14ac:dyDescent="0.2">
      <c r="A31" s="1515"/>
      <c r="B31" s="593" t="s">
        <v>67</v>
      </c>
      <c r="C31" s="594">
        <v>134717752</v>
      </c>
      <c r="D31" s="595">
        <v>147280500</v>
      </c>
      <c r="E31" s="595">
        <v>135842313</v>
      </c>
      <c r="F31" s="596">
        <f>E31/D31%</f>
        <v>92.233739700775047</v>
      </c>
    </row>
    <row r="32" spans="1:6" ht="13.5" thickBot="1" x14ac:dyDescent="0.25">
      <c r="A32" s="1516"/>
      <c r="B32" s="598" t="s">
        <v>11</v>
      </c>
      <c r="C32" s="597">
        <f>SUM(C24:C31)</f>
        <v>134717752</v>
      </c>
      <c r="D32" s="85">
        <f>SUM(D24:D31)</f>
        <v>147280500</v>
      </c>
      <c r="E32" s="85">
        <f>SUM(E24:E31)</f>
        <v>135842313</v>
      </c>
      <c r="F32" s="288">
        <f>E32/D32%</f>
        <v>92.233739700775047</v>
      </c>
    </row>
    <row r="33" spans="1:6" ht="24.75" thickBot="1" x14ac:dyDescent="0.25">
      <c r="A33" s="1514" t="s">
        <v>11</v>
      </c>
      <c r="B33" s="599" t="s">
        <v>53</v>
      </c>
      <c r="C33" s="609">
        <f t="shared" ref="C33:E40" si="1">SUM(C24+C15+C6)</f>
        <v>0</v>
      </c>
      <c r="D33" s="609">
        <f t="shared" si="1"/>
        <v>6995018</v>
      </c>
      <c r="E33" s="609">
        <f t="shared" si="1"/>
        <v>9705467</v>
      </c>
      <c r="F33" s="610"/>
    </row>
    <row r="34" spans="1:6" ht="24.75" thickBot="1" x14ac:dyDescent="0.25">
      <c r="A34" s="1515"/>
      <c r="B34" s="599" t="s">
        <v>58</v>
      </c>
      <c r="C34" s="605">
        <f t="shared" si="1"/>
        <v>0</v>
      </c>
      <c r="D34" s="605">
        <f t="shared" si="1"/>
        <v>0</v>
      </c>
      <c r="E34" s="605">
        <f t="shared" si="1"/>
        <v>0</v>
      </c>
      <c r="F34" s="602"/>
    </row>
    <row r="35" spans="1:6" ht="13.5" thickBot="1" x14ac:dyDescent="0.25">
      <c r="A35" s="1515"/>
      <c r="B35" s="599" t="s">
        <v>71</v>
      </c>
      <c r="C35" s="605">
        <f t="shared" si="1"/>
        <v>0</v>
      </c>
      <c r="D35" s="605">
        <f t="shared" si="1"/>
        <v>0</v>
      </c>
      <c r="E35" s="605">
        <f t="shared" si="1"/>
        <v>0</v>
      </c>
      <c r="F35" s="602"/>
    </row>
    <row r="36" spans="1:6" ht="13.5" thickBot="1" x14ac:dyDescent="0.25">
      <c r="A36" s="1515"/>
      <c r="B36" s="606" t="s">
        <v>51</v>
      </c>
      <c r="C36" s="605">
        <f t="shared" si="1"/>
        <v>32000</v>
      </c>
      <c r="D36" s="605">
        <f t="shared" si="1"/>
        <v>211531</v>
      </c>
      <c r="E36" s="605">
        <f t="shared" si="1"/>
        <v>164119</v>
      </c>
      <c r="F36" s="602">
        <f t="shared" ref="F36:F41" si="2">E36/D36*100</f>
        <v>77.586263951855756</v>
      </c>
    </row>
    <row r="37" spans="1:6" ht="13.5" thickBot="1" x14ac:dyDescent="0.25">
      <c r="A37" s="1515"/>
      <c r="B37" s="599" t="s">
        <v>72</v>
      </c>
      <c r="C37" s="605">
        <f t="shared" si="1"/>
        <v>0</v>
      </c>
      <c r="D37" s="605">
        <f t="shared" si="1"/>
        <v>0</v>
      </c>
      <c r="E37" s="605">
        <f t="shared" si="1"/>
        <v>9937</v>
      </c>
      <c r="F37" s="607"/>
    </row>
    <row r="38" spans="1:6" ht="24.75" thickBot="1" x14ac:dyDescent="0.25">
      <c r="A38" s="1515"/>
      <c r="B38" s="599" t="s">
        <v>69</v>
      </c>
      <c r="C38" s="605">
        <f t="shared" si="1"/>
        <v>0</v>
      </c>
      <c r="D38" s="605">
        <f t="shared" si="1"/>
        <v>0</v>
      </c>
      <c r="E38" s="605">
        <f t="shared" si="1"/>
        <v>0</v>
      </c>
      <c r="F38" s="602"/>
    </row>
    <row r="39" spans="1:6" ht="24.75" thickBot="1" x14ac:dyDescent="0.25">
      <c r="A39" s="1515"/>
      <c r="B39" s="599" t="s">
        <v>60</v>
      </c>
      <c r="C39" s="605">
        <f t="shared" si="1"/>
        <v>0</v>
      </c>
      <c r="D39" s="605">
        <f t="shared" si="1"/>
        <v>0</v>
      </c>
      <c r="E39" s="605">
        <f t="shared" si="1"/>
        <v>0</v>
      </c>
      <c r="F39" s="607"/>
    </row>
    <row r="40" spans="1:6" ht="13.5" thickBot="1" x14ac:dyDescent="0.25">
      <c r="A40" s="1515"/>
      <c r="B40" s="599" t="s">
        <v>67</v>
      </c>
      <c r="C40" s="605">
        <f t="shared" si="1"/>
        <v>136941604</v>
      </c>
      <c r="D40" s="605">
        <f t="shared" si="1"/>
        <v>149504352</v>
      </c>
      <c r="E40" s="605">
        <f t="shared" si="1"/>
        <v>135842313</v>
      </c>
      <c r="F40" s="602">
        <f t="shared" si="2"/>
        <v>90.861778391574845</v>
      </c>
    </row>
    <row r="41" spans="1:6" ht="13.5" thickBot="1" x14ac:dyDescent="0.25">
      <c r="A41" s="1516"/>
      <c r="B41" s="608" t="s">
        <v>11</v>
      </c>
      <c r="C41" s="609">
        <f>SUM(C33:C40)</f>
        <v>136973604</v>
      </c>
      <c r="D41" s="609">
        <f>SUM(D33:D40)</f>
        <v>156710901</v>
      </c>
      <c r="E41" s="609">
        <f>SUM(E33:E40)</f>
        <v>145721836</v>
      </c>
      <c r="F41" s="610">
        <f t="shared" si="2"/>
        <v>92.987683096787237</v>
      </c>
    </row>
    <row r="42" spans="1:6" ht="24.75" thickBot="1" x14ac:dyDescent="0.25">
      <c r="A42" s="1524" t="s">
        <v>11</v>
      </c>
      <c r="B42" s="599" t="s">
        <v>53</v>
      </c>
      <c r="C42" s="600">
        <f>SUM(C33+C24+C15+C6)</f>
        <v>0</v>
      </c>
      <c r="D42" s="600">
        <f>SUM(D33+D24+D15+D6)</f>
        <v>13990036</v>
      </c>
      <c r="E42" s="600">
        <f>SUM(E33+E24+E15+E6)</f>
        <v>19410934</v>
      </c>
      <c r="F42" s="602">
        <f>E42/D42*100</f>
        <v>138.7482777027879</v>
      </c>
    </row>
    <row r="43" spans="1:6" ht="24.75" thickBot="1" x14ac:dyDescent="0.25">
      <c r="A43" s="1525"/>
      <c r="B43" s="599" t="s">
        <v>58</v>
      </c>
      <c r="C43" s="600">
        <f t="shared" ref="C43:E49" si="3">SUM(C34+C25+C16+C7)</f>
        <v>0</v>
      </c>
      <c r="D43" s="600">
        <f t="shared" si="3"/>
        <v>0</v>
      </c>
      <c r="E43" s="601"/>
      <c r="F43" s="602"/>
    </row>
    <row r="44" spans="1:6" ht="13.5" thickBot="1" x14ac:dyDescent="0.25">
      <c r="A44" s="1525"/>
      <c r="B44" s="599" t="s">
        <v>71</v>
      </c>
      <c r="C44" s="600">
        <f t="shared" si="3"/>
        <v>0</v>
      </c>
      <c r="D44" s="600">
        <f t="shared" si="3"/>
        <v>0</v>
      </c>
      <c r="E44" s="601"/>
      <c r="F44" s="602"/>
    </row>
    <row r="45" spans="1:6" ht="13.5" thickBot="1" x14ac:dyDescent="0.25">
      <c r="A45" s="1525"/>
      <c r="B45" s="599" t="s">
        <v>51</v>
      </c>
      <c r="C45" s="600">
        <f t="shared" si="3"/>
        <v>64000</v>
      </c>
      <c r="D45" s="600">
        <f t="shared" si="3"/>
        <v>423062</v>
      </c>
      <c r="E45" s="600">
        <f t="shared" si="3"/>
        <v>328238</v>
      </c>
      <c r="F45" s="602">
        <f t="shared" ref="F45:F50" si="4">E45/D45*100</f>
        <v>77.586263951855756</v>
      </c>
    </row>
    <row r="46" spans="1:6" ht="13.5" thickBot="1" x14ac:dyDescent="0.25">
      <c r="A46" s="1525"/>
      <c r="B46" s="599" t="s">
        <v>72</v>
      </c>
      <c r="C46" s="600">
        <f t="shared" si="3"/>
        <v>0</v>
      </c>
      <c r="D46" s="600">
        <f t="shared" si="3"/>
        <v>0</v>
      </c>
      <c r="E46" s="601"/>
      <c r="F46" s="602"/>
    </row>
    <row r="47" spans="1:6" ht="24.75" thickBot="1" x14ac:dyDescent="0.25">
      <c r="A47" s="1525"/>
      <c r="B47" s="599" t="s">
        <v>69</v>
      </c>
      <c r="C47" s="600">
        <f t="shared" si="3"/>
        <v>0</v>
      </c>
      <c r="D47" s="600">
        <f t="shared" si="3"/>
        <v>0</v>
      </c>
      <c r="E47" s="600">
        <f t="shared" si="3"/>
        <v>0</v>
      </c>
      <c r="F47" s="602"/>
    </row>
    <row r="48" spans="1:6" ht="24.75" thickBot="1" x14ac:dyDescent="0.25">
      <c r="A48" s="1525"/>
      <c r="B48" s="599" t="s">
        <v>60</v>
      </c>
      <c r="C48" s="600">
        <f t="shared" si="3"/>
        <v>0</v>
      </c>
      <c r="D48" s="600">
        <f t="shared" si="3"/>
        <v>0</v>
      </c>
      <c r="E48" s="601"/>
      <c r="F48" s="602"/>
    </row>
    <row r="49" spans="1:6" ht="13.5" thickBot="1" x14ac:dyDescent="0.25">
      <c r="A49" s="1525"/>
      <c r="B49" s="599" t="s">
        <v>67</v>
      </c>
      <c r="C49" s="600">
        <f t="shared" si="3"/>
        <v>273883208</v>
      </c>
      <c r="D49" s="600">
        <f t="shared" si="3"/>
        <v>299008704</v>
      </c>
      <c r="E49" s="600">
        <f t="shared" si="3"/>
        <v>271684626</v>
      </c>
      <c r="F49" s="602">
        <f t="shared" si="4"/>
        <v>90.861778391574845</v>
      </c>
    </row>
    <row r="50" spans="1:6" ht="13.5" thickBot="1" x14ac:dyDescent="0.25">
      <c r="A50" s="1526"/>
      <c r="B50" s="603" t="s">
        <v>11</v>
      </c>
      <c r="C50" s="600">
        <f>SUM(C42:C49)</f>
        <v>273947208</v>
      </c>
      <c r="D50" s="600">
        <f>SUM(D42:D49)</f>
        <v>313421802</v>
      </c>
      <c r="E50" s="600">
        <f>SUM(E42:E49)</f>
        <v>291423798</v>
      </c>
      <c r="F50" s="602">
        <f t="shared" si="4"/>
        <v>92.981342121184028</v>
      </c>
    </row>
  </sheetData>
  <mergeCells count="7">
    <mergeCell ref="A42:A50"/>
    <mergeCell ref="A1:F2"/>
    <mergeCell ref="A6:A14"/>
    <mergeCell ref="A15:A23"/>
    <mergeCell ref="A24:A32"/>
    <mergeCell ref="A33:A41"/>
    <mergeCell ref="E3:F3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scaleWithDoc="0" alignWithMargins="0">
    <oddHeader>&amp;R1.2)a.sz. melléklete
...../2020.(VI.25.)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20" zoomScaleNormal="120" workbookViewId="0">
      <selection activeCell="H16" sqref="H16"/>
    </sheetView>
  </sheetViews>
  <sheetFormatPr defaultRowHeight="12.75" x14ac:dyDescent="0.2"/>
  <cols>
    <col min="1" max="1" width="32.5703125" customWidth="1"/>
    <col min="2" max="2" width="34.140625" customWidth="1"/>
    <col min="3" max="3" width="17.42578125" style="588" customWidth="1"/>
    <col min="4" max="4" width="16.7109375" style="588" customWidth="1"/>
    <col min="5" max="5" width="15.7109375" style="588" customWidth="1"/>
    <col min="6" max="6" width="16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 x14ac:dyDescent="0.2">
      <c r="A1" s="1517" t="s">
        <v>618</v>
      </c>
      <c r="B1" s="1517"/>
      <c r="C1" s="1517"/>
      <c r="D1" s="1517"/>
      <c r="E1" s="1517"/>
    </row>
    <row r="2" spans="1:6" ht="12.75" customHeight="1" x14ac:dyDescent="0.2">
      <c r="A2" s="1517"/>
      <c r="B2" s="1517"/>
      <c r="C2" s="1517"/>
      <c r="D2" s="1517"/>
      <c r="E2" s="1517"/>
    </row>
    <row r="4" spans="1:6" x14ac:dyDescent="0.2">
      <c r="E4" s="1528" t="s">
        <v>184</v>
      </c>
      <c r="F4" s="1528"/>
    </row>
    <row r="5" spans="1:6" ht="13.5" thickBot="1" x14ac:dyDescent="0.25"/>
    <row r="6" spans="1:6" ht="16.5" thickBot="1" x14ac:dyDescent="0.3">
      <c r="A6" s="292" t="s">
        <v>73</v>
      </c>
      <c r="B6" s="293" t="s">
        <v>151</v>
      </c>
      <c r="C6" s="576" t="s">
        <v>147</v>
      </c>
      <c r="D6" s="576" t="s">
        <v>152</v>
      </c>
      <c r="E6" s="576" t="s">
        <v>149</v>
      </c>
      <c r="F6" s="314" t="s">
        <v>150</v>
      </c>
    </row>
    <row r="7" spans="1:6" ht="24" x14ac:dyDescent="0.2">
      <c r="A7" s="1529" t="s">
        <v>362</v>
      </c>
      <c r="B7" s="334" t="s">
        <v>53</v>
      </c>
      <c r="C7" s="814"/>
      <c r="D7" s="814"/>
      <c r="E7" s="814"/>
      <c r="F7" s="815"/>
    </row>
    <row r="8" spans="1:6" ht="24" x14ac:dyDescent="0.2">
      <c r="A8" s="1530"/>
      <c r="B8" s="335" t="s">
        <v>58</v>
      </c>
      <c r="C8" s="816"/>
      <c r="D8" s="816"/>
      <c r="E8" s="816"/>
      <c r="F8" s="817"/>
    </row>
    <row r="9" spans="1:6" x14ac:dyDescent="0.2">
      <c r="A9" s="1530"/>
      <c r="B9" s="335" t="s">
        <v>71</v>
      </c>
      <c r="C9" s="816"/>
      <c r="D9" s="816"/>
      <c r="E9" s="816"/>
      <c r="F9" s="817"/>
    </row>
    <row r="10" spans="1:6" x14ac:dyDescent="0.2">
      <c r="A10" s="1530"/>
      <c r="B10" s="335" t="s">
        <v>51</v>
      </c>
      <c r="C10" s="816"/>
      <c r="D10" s="816"/>
      <c r="E10" s="816"/>
      <c r="F10" s="817"/>
    </row>
    <row r="11" spans="1:6" x14ac:dyDescent="0.2">
      <c r="A11" s="1530"/>
      <c r="B11" s="335" t="s">
        <v>72</v>
      </c>
      <c r="C11" s="816"/>
      <c r="D11" s="816"/>
      <c r="E11" s="816"/>
      <c r="F11" s="817"/>
    </row>
    <row r="12" spans="1:6" x14ac:dyDescent="0.2">
      <c r="A12" s="1530"/>
      <c r="B12" s="335" t="s">
        <v>69</v>
      </c>
      <c r="C12" s="816"/>
      <c r="D12" s="816"/>
      <c r="E12" s="816"/>
      <c r="F12" s="817"/>
    </row>
    <row r="13" spans="1:6" ht="24" x14ac:dyDescent="0.2">
      <c r="A13" s="1530"/>
      <c r="B13" s="335" t="s">
        <v>60</v>
      </c>
      <c r="C13" s="816"/>
      <c r="D13" s="816"/>
      <c r="E13" s="816"/>
      <c r="F13" s="817"/>
    </row>
    <row r="14" spans="1:6" ht="13.5" thickBot="1" x14ac:dyDescent="0.25">
      <c r="A14" s="1530"/>
      <c r="B14" s="813" t="s">
        <v>67</v>
      </c>
      <c r="C14" s="818">
        <v>13338490</v>
      </c>
      <c r="D14" s="818">
        <v>13872494</v>
      </c>
      <c r="E14" s="818">
        <v>10438395</v>
      </c>
      <c r="F14" s="819">
        <f>E14/D14*100</f>
        <v>75.245265919740163</v>
      </c>
    </row>
    <row r="15" spans="1:6" ht="13.5" thickBot="1" x14ac:dyDescent="0.25">
      <c r="A15" s="1531"/>
      <c r="B15" s="1119" t="s">
        <v>11</v>
      </c>
      <c r="C15" s="1120">
        <f>SUM(C7:C14)</f>
        <v>13338490</v>
      </c>
      <c r="D15" s="1121">
        <f>SUM(D7:D14)</f>
        <v>13872494</v>
      </c>
      <c r="E15" s="1122">
        <f>SUM(E7:E14)</f>
        <v>10438395</v>
      </c>
      <c r="F15" s="1123">
        <f>E15/D15*100</f>
        <v>75.245265919740163</v>
      </c>
    </row>
    <row r="16" spans="1:6" ht="24" x14ac:dyDescent="0.2">
      <c r="A16" s="1532" t="s">
        <v>83</v>
      </c>
      <c r="B16" s="289" t="s">
        <v>53</v>
      </c>
      <c r="C16" s="584">
        <v>0</v>
      </c>
      <c r="D16" s="584"/>
      <c r="E16" s="584"/>
      <c r="F16" s="580"/>
    </row>
    <row r="17" spans="1:6" ht="24" x14ac:dyDescent="0.2">
      <c r="A17" s="1519"/>
      <c r="B17" s="170" t="s">
        <v>58</v>
      </c>
      <c r="C17" s="579"/>
      <c r="D17" s="579"/>
      <c r="E17" s="579"/>
      <c r="F17" s="580"/>
    </row>
    <row r="18" spans="1:6" x14ac:dyDescent="0.2">
      <c r="A18" s="1519"/>
      <c r="B18" s="170" t="s">
        <v>71</v>
      </c>
      <c r="C18" s="579"/>
      <c r="D18" s="579"/>
      <c r="E18" s="579"/>
      <c r="F18" s="580"/>
    </row>
    <row r="19" spans="1:6" x14ac:dyDescent="0.2">
      <c r="A19" s="1519"/>
      <c r="B19" s="170" t="s">
        <v>51</v>
      </c>
      <c r="C19" s="579">
        <v>590000</v>
      </c>
      <c r="D19" s="579">
        <v>638800</v>
      </c>
      <c r="E19" s="579">
        <v>713540</v>
      </c>
      <c r="F19" s="580">
        <f>E19/D19*100</f>
        <v>111.70006261740764</v>
      </c>
    </row>
    <row r="20" spans="1:6" x14ac:dyDescent="0.2">
      <c r="A20" s="1519"/>
      <c r="B20" s="170" t="s">
        <v>72</v>
      </c>
      <c r="C20" s="579"/>
      <c r="D20" s="579"/>
      <c r="E20" s="579"/>
      <c r="F20" s="580"/>
    </row>
    <row r="21" spans="1:6" x14ac:dyDescent="0.2">
      <c r="A21" s="1519"/>
      <c r="B21" s="170" t="s">
        <v>69</v>
      </c>
      <c r="C21" s="579"/>
      <c r="D21" s="579"/>
      <c r="E21" s="579"/>
      <c r="F21" s="580"/>
    </row>
    <row r="22" spans="1:6" ht="24" x14ac:dyDescent="0.2">
      <c r="A22" s="1519"/>
      <c r="B22" s="170" t="s">
        <v>60</v>
      </c>
      <c r="C22" s="581"/>
      <c r="D22" s="579"/>
      <c r="E22" s="579"/>
      <c r="F22" s="580"/>
    </row>
    <row r="23" spans="1:6" x14ac:dyDescent="0.2">
      <c r="A23" s="1519"/>
      <c r="B23" s="170" t="s">
        <v>67</v>
      </c>
      <c r="C23" s="579"/>
      <c r="D23" s="579"/>
      <c r="E23" s="579"/>
      <c r="F23" s="580"/>
    </row>
    <row r="24" spans="1:6" ht="13.5" thickBot="1" x14ac:dyDescent="0.25">
      <c r="A24" s="1533"/>
      <c r="B24" s="233" t="s">
        <v>11</v>
      </c>
      <c r="C24" s="585">
        <f>SUM(C16:C23)</f>
        <v>590000</v>
      </c>
      <c r="D24" s="585">
        <f>SUM(D16:D23)</f>
        <v>638800</v>
      </c>
      <c r="E24" s="585">
        <f>SUM(E16:E23)</f>
        <v>713540</v>
      </c>
      <c r="F24" s="586">
        <f>E24/D24*100</f>
        <v>111.70006261740764</v>
      </c>
    </row>
    <row r="25" spans="1:6" ht="24" x14ac:dyDescent="0.2">
      <c r="A25" s="1518" t="s">
        <v>85</v>
      </c>
      <c r="B25" s="287" t="s">
        <v>53</v>
      </c>
      <c r="C25" s="577"/>
      <c r="D25" s="577">
        <v>0</v>
      </c>
      <c r="E25" s="577">
        <v>0</v>
      </c>
      <c r="F25" s="578"/>
    </row>
    <row r="26" spans="1:6" ht="24" x14ac:dyDescent="0.2">
      <c r="A26" s="1519"/>
      <c r="B26" s="170" t="s">
        <v>58</v>
      </c>
      <c r="C26" s="579"/>
      <c r="D26" s="579"/>
      <c r="E26" s="579"/>
      <c r="F26" s="580"/>
    </row>
    <row r="27" spans="1:6" x14ac:dyDescent="0.2">
      <c r="A27" s="1519"/>
      <c r="B27" s="170" t="s">
        <v>71</v>
      </c>
      <c r="C27" s="579"/>
      <c r="D27" s="579"/>
      <c r="E27" s="579"/>
      <c r="F27" s="580"/>
    </row>
    <row r="28" spans="1:6" x14ac:dyDescent="0.2">
      <c r="A28" s="1519"/>
      <c r="B28" s="170" t="s">
        <v>51</v>
      </c>
      <c r="C28" s="579"/>
      <c r="D28" s="579"/>
      <c r="E28" s="579">
        <v>362</v>
      </c>
      <c r="F28" s="580"/>
    </row>
    <row r="29" spans="1:6" x14ac:dyDescent="0.2">
      <c r="A29" s="1519"/>
      <c r="B29" s="170" t="s">
        <v>72</v>
      </c>
      <c r="C29" s="579"/>
      <c r="D29" s="579"/>
      <c r="E29" s="579"/>
      <c r="F29" s="580"/>
    </row>
    <row r="30" spans="1:6" x14ac:dyDescent="0.2">
      <c r="A30" s="1519"/>
      <c r="B30" s="170" t="s">
        <v>69</v>
      </c>
      <c r="C30" s="579"/>
      <c r="D30" s="579"/>
      <c r="E30" s="579"/>
      <c r="F30" s="580"/>
    </row>
    <row r="31" spans="1:6" ht="24" x14ac:dyDescent="0.2">
      <c r="A31" s="1519"/>
      <c r="B31" s="170" t="s">
        <v>60</v>
      </c>
      <c r="C31" s="581"/>
      <c r="D31" s="579"/>
      <c r="E31" s="579"/>
      <c r="F31" s="580"/>
    </row>
    <row r="32" spans="1:6" x14ac:dyDescent="0.2">
      <c r="A32" s="1519"/>
      <c r="B32" s="170" t="s">
        <v>67</v>
      </c>
      <c r="C32" s="579"/>
      <c r="D32" s="579">
        <v>0</v>
      </c>
      <c r="E32" s="579"/>
      <c r="F32" s="580"/>
    </row>
    <row r="33" spans="1:6" ht="13.5" thickBot="1" x14ac:dyDescent="0.25">
      <c r="A33" s="1533"/>
      <c r="B33" s="233" t="s">
        <v>11</v>
      </c>
      <c r="C33" s="585">
        <f>SUM(C25:C32)</f>
        <v>0</v>
      </c>
      <c r="D33" s="585">
        <f>SUM(D25:D32)</f>
        <v>0</v>
      </c>
      <c r="E33" s="585">
        <f>SUM(E25:E32)</f>
        <v>362</v>
      </c>
      <c r="F33" s="586"/>
    </row>
    <row r="34" spans="1:6" ht="24" x14ac:dyDescent="0.2">
      <c r="A34" s="1518" t="s">
        <v>11</v>
      </c>
      <c r="B34" s="287" t="s">
        <v>53</v>
      </c>
      <c r="C34" s="587">
        <f>C16+C25+C7</f>
        <v>0</v>
      </c>
      <c r="D34" s="587">
        <f t="shared" ref="D34:E34" si="0">D16+D25+D7</f>
        <v>0</v>
      </c>
      <c r="E34" s="587">
        <f t="shared" si="0"/>
        <v>0</v>
      </c>
      <c r="F34" s="578"/>
    </row>
    <row r="35" spans="1:6" ht="24" x14ac:dyDescent="0.2">
      <c r="A35" s="1519"/>
      <c r="B35" s="170" t="s">
        <v>58</v>
      </c>
      <c r="C35" s="1113">
        <f t="shared" ref="C35:E35" si="1">C17+C26+C8</f>
        <v>0</v>
      </c>
      <c r="D35" s="1113">
        <f t="shared" si="1"/>
        <v>0</v>
      </c>
      <c r="E35" s="1113">
        <f t="shared" si="1"/>
        <v>0</v>
      </c>
      <c r="F35" s="580"/>
    </row>
    <row r="36" spans="1:6" x14ac:dyDescent="0.2">
      <c r="A36" s="1519"/>
      <c r="B36" s="170" t="s">
        <v>71</v>
      </c>
      <c r="C36" s="1113">
        <f t="shared" ref="C36:E36" si="2">C18+C27+C9</f>
        <v>0</v>
      </c>
      <c r="D36" s="1113">
        <f t="shared" si="2"/>
        <v>0</v>
      </c>
      <c r="E36" s="1113">
        <f t="shared" si="2"/>
        <v>0</v>
      </c>
      <c r="F36" s="580"/>
    </row>
    <row r="37" spans="1:6" x14ac:dyDescent="0.2">
      <c r="A37" s="1519"/>
      <c r="B37" s="170" t="s">
        <v>51</v>
      </c>
      <c r="C37" s="1113">
        <f t="shared" ref="C37:E37" si="3">C19+C28+C10</f>
        <v>590000</v>
      </c>
      <c r="D37" s="1113">
        <f t="shared" si="3"/>
        <v>638800</v>
      </c>
      <c r="E37" s="1113">
        <f t="shared" si="3"/>
        <v>713902</v>
      </c>
      <c r="F37" s="580">
        <f>E37/D37*100</f>
        <v>111.75673137132122</v>
      </c>
    </row>
    <row r="38" spans="1:6" x14ac:dyDescent="0.2">
      <c r="A38" s="1519"/>
      <c r="B38" s="170" t="s">
        <v>72</v>
      </c>
      <c r="C38" s="1113">
        <f t="shared" ref="C38:E38" si="4">C20+C29+C11</f>
        <v>0</v>
      </c>
      <c r="D38" s="1113">
        <f t="shared" si="4"/>
        <v>0</v>
      </c>
      <c r="E38" s="1113">
        <f t="shared" si="4"/>
        <v>0</v>
      </c>
      <c r="F38" s="580"/>
    </row>
    <row r="39" spans="1:6" x14ac:dyDescent="0.2">
      <c r="A39" s="1519"/>
      <c r="B39" s="170" t="s">
        <v>69</v>
      </c>
      <c r="C39" s="1113">
        <f t="shared" ref="C39:E39" si="5">C21+C30+C12</f>
        <v>0</v>
      </c>
      <c r="D39" s="1113">
        <f t="shared" si="5"/>
        <v>0</v>
      </c>
      <c r="E39" s="1113">
        <f t="shared" si="5"/>
        <v>0</v>
      </c>
      <c r="F39" s="580"/>
    </row>
    <row r="40" spans="1:6" ht="24" x14ac:dyDescent="0.2">
      <c r="A40" s="1519"/>
      <c r="B40" s="170" t="s">
        <v>60</v>
      </c>
      <c r="C40" s="1113">
        <f t="shared" ref="C40:E40" si="6">C22+C31+C13</f>
        <v>0</v>
      </c>
      <c r="D40" s="1113">
        <f t="shared" si="6"/>
        <v>0</v>
      </c>
      <c r="E40" s="1113">
        <f t="shared" si="6"/>
        <v>0</v>
      </c>
      <c r="F40" s="580"/>
    </row>
    <row r="41" spans="1:6" x14ac:dyDescent="0.2">
      <c r="A41" s="1519"/>
      <c r="B41" s="170" t="s">
        <v>67</v>
      </c>
      <c r="C41" s="1113">
        <f t="shared" ref="C41:E41" si="7">C23+C32+C14</f>
        <v>13338490</v>
      </c>
      <c r="D41" s="1113">
        <f t="shared" si="7"/>
        <v>13872494</v>
      </c>
      <c r="E41" s="1113">
        <f t="shared" si="7"/>
        <v>10438395</v>
      </c>
      <c r="F41" s="580">
        <f>E41/D41*100</f>
        <v>75.245265919740163</v>
      </c>
    </row>
    <row r="42" spans="1:6" ht="13.5" thickBot="1" x14ac:dyDescent="0.25">
      <c r="A42" s="1520"/>
      <c r="B42" s="171" t="s">
        <v>11</v>
      </c>
      <c r="C42" s="582">
        <f>SUM(C34:C41)</f>
        <v>13928490</v>
      </c>
      <c r="D42" s="582">
        <f>SUM(D34:D41)</f>
        <v>14511294</v>
      </c>
      <c r="E42" s="582">
        <f>SUM(E34:E41)</f>
        <v>11152297</v>
      </c>
      <c r="F42" s="583">
        <f>E42/D42*100</f>
        <v>76.852532930557388</v>
      </c>
    </row>
  </sheetData>
  <mergeCells count="6">
    <mergeCell ref="A34:A42"/>
    <mergeCell ref="E4:F4"/>
    <mergeCell ref="A7:A15"/>
    <mergeCell ref="A1:E2"/>
    <mergeCell ref="A16:A24"/>
    <mergeCell ref="A25:A33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&amp;R1.3.sz. melléklete
...../2020.(VI.25.)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H15" sqref="H15"/>
    </sheetView>
  </sheetViews>
  <sheetFormatPr defaultRowHeight="12.75" x14ac:dyDescent="0.2"/>
  <cols>
    <col min="1" max="1" width="32.5703125" customWidth="1"/>
    <col min="2" max="2" width="34.140625" customWidth="1"/>
    <col min="3" max="3" width="17.42578125" customWidth="1"/>
    <col min="4" max="4" width="16.7109375" customWidth="1"/>
    <col min="5" max="5" width="15.7109375" customWidth="1"/>
    <col min="6" max="6" width="18.42578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 x14ac:dyDescent="0.2">
      <c r="A1" s="1517" t="s">
        <v>619</v>
      </c>
      <c r="B1" s="1517"/>
      <c r="C1" s="1517"/>
      <c r="D1" s="1517"/>
      <c r="E1" s="1517"/>
      <c r="F1" s="1517"/>
    </row>
    <row r="2" spans="1:6" ht="12.75" customHeight="1" x14ac:dyDescent="0.2">
      <c r="A2" s="1517"/>
      <c r="B2" s="1517"/>
      <c r="C2" s="1517"/>
      <c r="D2" s="1517"/>
      <c r="E2" s="1517"/>
      <c r="F2" s="1517"/>
    </row>
    <row r="4" spans="1:6" x14ac:dyDescent="0.2">
      <c r="E4" s="1527" t="s">
        <v>528</v>
      </c>
      <c r="F4" s="1527"/>
    </row>
    <row r="5" spans="1:6" ht="13.5" thickBot="1" x14ac:dyDescent="0.25"/>
    <row r="6" spans="1:6" ht="16.5" thickBot="1" x14ac:dyDescent="0.3">
      <c r="A6" s="292" t="s">
        <v>73</v>
      </c>
      <c r="B6" s="293" t="s">
        <v>151</v>
      </c>
      <c r="C6" s="576" t="s">
        <v>147</v>
      </c>
      <c r="D6" s="576" t="s">
        <v>152</v>
      </c>
      <c r="E6" s="576" t="s">
        <v>149</v>
      </c>
      <c r="F6" s="314" t="s">
        <v>150</v>
      </c>
    </row>
    <row r="7" spans="1:6" ht="24" x14ac:dyDescent="0.2">
      <c r="A7" s="1529" t="s">
        <v>362</v>
      </c>
      <c r="B7" s="334" t="s">
        <v>53</v>
      </c>
      <c r="C7" s="814"/>
      <c r="D7" s="814"/>
      <c r="E7" s="814"/>
      <c r="F7" s="815"/>
    </row>
    <row r="8" spans="1:6" ht="24" x14ac:dyDescent="0.2">
      <c r="A8" s="1530"/>
      <c r="B8" s="335" t="s">
        <v>58</v>
      </c>
      <c r="C8" s="816"/>
      <c r="D8" s="816"/>
      <c r="E8" s="816"/>
      <c r="F8" s="817"/>
    </row>
    <row r="9" spans="1:6" x14ac:dyDescent="0.2">
      <c r="A9" s="1530"/>
      <c r="B9" s="335" t="s">
        <v>71</v>
      </c>
      <c r="C9" s="816"/>
      <c r="D9" s="816"/>
      <c r="E9" s="816"/>
      <c r="F9" s="817"/>
    </row>
    <row r="10" spans="1:6" x14ac:dyDescent="0.2">
      <c r="A10" s="1530"/>
      <c r="B10" s="335" t="s">
        <v>51</v>
      </c>
      <c r="C10" s="816"/>
      <c r="D10" s="816"/>
      <c r="E10" s="816"/>
      <c r="F10" s="817"/>
    </row>
    <row r="11" spans="1:6" x14ac:dyDescent="0.2">
      <c r="A11" s="1530"/>
      <c r="B11" s="335" t="s">
        <v>72</v>
      </c>
      <c r="C11" s="816"/>
      <c r="D11" s="816"/>
      <c r="E11" s="816"/>
      <c r="F11" s="817"/>
    </row>
    <row r="12" spans="1:6" x14ac:dyDescent="0.2">
      <c r="A12" s="1530"/>
      <c r="B12" s="335" t="s">
        <v>69</v>
      </c>
      <c r="C12" s="816"/>
      <c r="D12" s="816"/>
      <c r="E12" s="816"/>
      <c r="F12" s="817"/>
    </row>
    <row r="13" spans="1:6" ht="24" x14ac:dyDescent="0.2">
      <c r="A13" s="1530"/>
      <c r="B13" s="335" t="s">
        <v>60</v>
      </c>
      <c r="C13" s="816"/>
      <c r="D13" s="816"/>
      <c r="E13" s="816"/>
      <c r="F13" s="817"/>
    </row>
    <row r="14" spans="1:6" ht="13.5" thickBot="1" x14ac:dyDescent="0.25">
      <c r="A14" s="1530"/>
      <c r="B14" s="813" t="s">
        <v>67</v>
      </c>
      <c r="C14" s="818">
        <v>13338490</v>
      </c>
      <c r="D14" s="818">
        <v>13872494</v>
      </c>
      <c r="E14" s="818">
        <v>10438395</v>
      </c>
      <c r="F14" s="819">
        <f>E14/D14*100</f>
        <v>75.245265919740163</v>
      </c>
    </row>
    <row r="15" spans="1:6" ht="13.5" thickBot="1" x14ac:dyDescent="0.25">
      <c r="A15" s="1531"/>
      <c r="B15" s="1119" t="s">
        <v>11</v>
      </c>
      <c r="C15" s="1120">
        <f>SUM(C7:C14)</f>
        <v>13338490</v>
      </c>
      <c r="D15" s="1121">
        <f>SUM(D7:D14)</f>
        <v>13872494</v>
      </c>
      <c r="E15" s="1122">
        <f>SUM(E7:E14)</f>
        <v>10438395</v>
      </c>
      <c r="F15" s="1123">
        <f>E15/D15*100</f>
        <v>75.245265919740163</v>
      </c>
    </row>
    <row r="16" spans="1:6" ht="24" x14ac:dyDescent="0.2">
      <c r="A16" s="1532" t="s">
        <v>83</v>
      </c>
      <c r="B16" s="289" t="s">
        <v>53</v>
      </c>
      <c r="C16" s="584">
        <v>0</v>
      </c>
      <c r="D16" s="584"/>
      <c r="E16" s="584"/>
      <c r="F16" s="580"/>
    </row>
    <row r="17" spans="1:6" ht="24" x14ac:dyDescent="0.2">
      <c r="A17" s="1519"/>
      <c r="B17" s="170" t="s">
        <v>58</v>
      </c>
      <c r="C17" s="579"/>
      <c r="D17" s="579"/>
      <c r="E17" s="579"/>
      <c r="F17" s="580"/>
    </row>
    <row r="18" spans="1:6" x14ac:dyDescent="0.2">
      <c r="A18" s="1519"/>
      <c r="B18" s="170" t="s">
        <v>71</v>
      </c>
      <c r="C18" s="579"/>
      <c r="D18" s="579"/>
      <c r="E18" s="579"/>
      <c r="F18" s="580"/>
    </row>
    <row r="19" spans="1:6" x14ac:dyDescent="0.2">
      <c r="A19" s="1519"/>
      <c r="B19" s="170" t="s">
        <v>51</v>
      </c>
      <c r="C19" s="579">
        <v>590000</v>
      </c>
      <c r="D19" s="579">
        <v>638800</v>
      </c>
      <c r="E19" s="579">
        <v>713540</v>
      </c>
      <c r="F19" s="580">
        <f>E19/D19*100</f>
        <v>111.70006261740764</v>
      </c>
    </row>
    <row r="20" spans="1:6" x14ac:dyDescent="0.2">
      <c r="A20" s="1519"/>
      <c r="B20" s="170" t="s">
        <v>72</v>
      </c>
      <c r="C20" s="579"/>
      <c r="D20" s="579"/>
      <c r="E20" s="579"/>
      <c r="F20" s="580"/>
    </row>
    <row r="21" spans="1:6" x14ac:dyDescent="0.2">
      <c r="A21" s="1519"/>
      <c r="B21" s="170" t="s">
        <v>69</v>
      </c>
      <c r="C21" s="579"/>
      <c r="D21" s="579"/>
      <c r="E21" s="579"/>
      <c r="F21" s="580"/>
    </row>
    <row r="22" spans="1:6" ht="24" x14ac:dyDescent="0.2">
      <c r="A22" s="1519"/>
      <c r="B22" s="170" t="s">
        <v>60</v>
      </c>
      <c r="C22" s="581"/>
      <c r="D22" s="579"/>
      <c r="E22" s="579"/>
      <c r="F22" s="580"/>
    </row>
    <row r="23" spans="1:6" x14ac:dyDescent="0.2">
      <c r="A23" s="1519"/>
      <c r="B23" s="170" t="s">
        <v>67</v>
      </c>
      <c r="C23" s="579"/>
      <c r="D23" s="579"/>
      <c r="E23" s="579"/>
      <c r="F23" s="580"/>
    </row>
    <row r="24" spans="1:6" ht="13.5" thickBot="1" x14ac:dyDescent="0.25">
      <c r="A24" s="1533"/>
      <c r="B24" s="233" t="s">
        <v>11</v>
      </c>
      <c r="C24" s="585">
        <f>SUM(C16:C23)</f>
        <v>590000</v>
      </c>
      <c r="D24" s="585">
        <f>SUM(D16:D23)</f>
        <v>638800</v>
      </c>
      <c r="E24" s="585">
        <f>SUM(E16:E23)</f>
        <v>713540</v>
      </c>
      <c r="F24" s="586">
        <f>E24/D24*100</f>
        <v>111.70006261740764</v>
      </c>
    </row>
    <row r="25" spans="1:6" ht="24" x14ac:dyDescent="0.2">
      <c r="A25" s="1518" t="s">
        <v>85</v>
      </c>
      <c r="B25" s="287" t="s">
        <v>53</v>
      </c>
      <c r="C25" s="577"/>
      <c r="D25" s="577">
        <v>0</v>
      </c>
      <c r="E25" s="577">
        <v>0</v>
      </c>
      <c r="F25" s="578"/>
    </row>
    <row r="26" spans="1:6" ht="24" x14ac:dyDescent="0.2">
      <c r="A26" s="1519"/>
      <c r="B26" s="170" t="s">
        <v>58</v>
      </c>
      <c r="C26" s="579"/>
      <c r="D26" s="579"/>
      <c r="E26" s="579"/>
      <c r="F26" s="580"/>
    </row>
    <row r="27" spans="1:6" x14ac:dyDescent="0.2">
      <c r="A27" s="1519"/>
      <c r="B27" s="170" t="s">
        <v>71</v>
      </c>
      <c r="C27" s="579"/>
      <c r="D27" s="579"/>
      <c r="E27" s="579"/>
      <c r="F27" s="580"/>
    </row>
    <row r="28" spans="1:6" x14ac:dyDescent="0.2">
      <c r="A28" s="1519"/>
      <c r="B28" s="170" t="s">
        <v>51</v>
      </c>
      <c r="C28" s="579"/>
      <c r="D28" s="579"/>
      <c r="E28" s="579">
        <v>362</v>
      </c>
      <c r="F28" s="580"/>
    </row>
    <row r="29" spans="1:6" x14ac:dyDescent="0.2">
      <c r="A29" s="1519"/>
      <c r="B29" s="170" t="s">
        <v>72</v>
      </c>
      <c r="C29" s="579"/>
      <c r="D29" s="579"/>
      <c r="E29" s="579"/>
      <c r="F29" s="580"/>
    </row>
    <row r="30" spans="1:6" x14ac:dyDescent="0.2">
      <c r="A30" s="1519"/>
      <c r="B30" s="170" t="s">
        <v>69</v>
      </c>
      <c r="C30" s="579"/>
      <c r="D30" s="579"/>
      <c r="E30" s="579"/>
      <c r="F30" s="580"/>
    </row>
    <row r="31" spans="1:6" ht="24" x14ac:dyDescent="0.2">
      <c r="A31" s="1519"/>
      <c r="B31" s="170" t="s">
        <v>60</v>
      </c>
      <c r="C31" s="581"/>
      <c r="D31" s="579"/>
      <c r="E31" s="579"/>
      <c r="F31" s="580"/>
    </row>
    <row r="32" spans="1:6" x14ac:dyDescent="0.2">
      <c r="A32" s="1519"/>
      <c r="B32" s="170" t="s">
        <v>67</v>
      </c>
      <c r="C32" s="579"/>
      <c r="D32" s="579">
        <v>0</v>
      </c>
      <c r="E32" s="579"/>
      <c r="F32" s="580"/>
    </row>
    <row r="33" spans="1:6" ht="13.5" thickBot="1" x14ac:dyDescent="0.25">
      <c r="A33" s="1533"/>
      <c r="B33" s="233" t="s">
        <v>11</v>
      </c>
      <c r="C33" s="585">
        <f>SUM(C25:C32)</f>
        <v>0</v>
      </c>
      <c r="D33" s="585">
        <f>SUM(D25:D32)</f>
        <v>0</v>
      </c>
      <c r="E33" s="585">
        <f>SUM(E25:E32)</f>
        <v>362</v>
      </c>
      <c r="F33" s="586"/>
    </row>
    <row r="34" spans="1:6" ht="24" x14ac:dyDescent="0.2">
      <c r="A34" s="1518" t="s">
        <v>11</v>
      </c>
      <c r="B34" s="287" t="s">
        <v>53</v>
      </c>
      <c r="C34" s="587">
        <f>C16+C25+C7</f>
        <v>0</v>
      </c>
      <c r="D34" s="587">
        <f t="shared" ref="D34:E34" si="0">D16+D25+D7</f>
        <v>0</v>
      </c>
      <c r="E34" s="587">
        <f t="shared" si="0"/>
        <v>0</v>
      </c>
      <c r="F34" s="578"/>
    </row>
    <row r="35" spans="1:6" ht="24" x14ac:dyDescent="0.2">
      <c r="A35" s="1519"/>
      <c r="B35" s="170" t="s">
        <v>58</v>
      </c>
      <c r="C35" s="1113">
        <f t="shared" ref="C35:E41" si="1">C17+C26+C8</f>
        <v>0</v>
      </c>
      <c r="D35" s="1113">
        <f t="shared" si="1"/>
        <v>0</v>
      </c>
      <c r="E35" s="1113">
        <f t="shared" si="1"/>
        <v>0</v>
      </c>
      <c r="F35" s="580"/>
    </row>
    <row r="36" spans="1:6" x14ac:dyDescent="0.2">
      <c r="A36" s="1519"/>
      <c r="B36" s="170" t="s">
        <v>71</v>
      </c>
      <c r="C36" s="1113">
        <f t="shared" si="1"/>
        <v>0</v>
      </c>
      <c r="D36" s="1113">
        <f t="shared" si="1"/>
        <v>0</v>
      </c>
      <c r="E36" s="1113">
        <f t="shared" si="1"/>
        <v>0</v>
      </c>
      <c r="F36" s="580"/>
    </row>
    <row r="37" spans="1:6" x14ac:dyDescent="0.2">
      <c r="A37" s="1519"/>
      <c r="B37" s="170" t="s">
        <v>51</v>
      </c>
      <c r="C37" s="1113">
        <f t="shared" si="1"/>
        <v>590000</v>
      </c>
      <c r="D37" s="1113">
        <f t="shared" si="1"/>
        <v>638800</v>
      </c>
      <c r="E37" s="1113">
        <f t="shared" si="1"/>
        <v>713902</v>
      </c>
      <c r="F37" s="580">
        <f>E37/D37*100</f>
        <v>111.75673137132122</v>
      </c>
    </row>
    <row r="38" spans="1:6" x14ac:dyDescent="0.2">
      <c r="A38" s="1519"/>
      <c r="B38" s="170" t="s">
        <v>72</v>
      </c>
      <c r="C38" s="1113">
        <f t="shared" si="1"/>
        <v>0</v>
      </c>
      <c r="D38" s="1113">
        <f t="shared" si="1"/>
        <v>0</v>
      </c>
      <c r="E38" s="1113">
        <f t="shared" si="1"/>
        <v>0</v>
      </c>
      <c r="F38" s="580"/>
    </row>
    <row r="39" spans="1:6" x14ac:dyDescent="0.2">
      <c r="A39" s="1519"/>
      <c r="B39" s="170" t="s">
        <v>69</v>
      </c>
      <c r="C39" s="1113">
        <f t="shared" si="1"/>
        <v>0</v>
      </c>
      <c r="D39" s="1113">
        <f t="shared" si="1"/>
        <v>0</v>
      </c>
      <c r="E39" s="1113">
        <f t="shared" si="1"/>
        <v>0</v>
      </c>
      <c r="F39" s="580"/>
    </row>
    <row r="40" spans="1:6" ht="24" x14ac:dyDescent="0.2">
      <c r="A40" s="1519"/>
      <c r="B40" s="170" t="s">
        <v>60</v>
      </c>
      <c r="C40" s="1113">
        <f t="shared" si="1"/>
        <v>0</v>
      </c>
      <c r="D40" s="1113">
        <f t="shared" si="1"/>
        <v>0</v>
      </c>
      <c r="E40" s="1113">
        <f t="shared" si="1"/>
        <v>0</v>
      </c>
      <c r="F40" s="580"/>
    </row>
    <row r="41" spans="1:6" x14ac:dyDescent="0.2">
      <c r="A41" s="1519"/>
      <c r="B41" s="170" t="s">
        <v>67</v>
      </c>
      <c r="C41" s="1113">
        <f t="shared" si="1"/>
        <v>13338490</v>
      </c>
      <c r="D41" s="1113">
        <f t="shared" si="1"/>
        <v>13872494</v>
      </c>
      <c r="E41" s="1113">
        <f t="shared" si="1"/>
        <v>10438395</v>
      </c>
      <c r="F41" s="580">
        <f>E41/D41*100</f>
        <v>75.245265919740163</v>
      </c>
    </row>
    <row r="42" spans="1:6" ht="13.5" thickBot="1" x14ac:dyDescent="0.25">
      <c r="A42" s="1520"/>
      <c r="B42" s="171" t="s">
        <v>11</v>
      </c>
      <c r="C42" s="582">
        <f>SUM(C34:C41)</f>
        <v>13928490</v>
      </c>
      <c r="D42" s="582">
        <f>SUM(D34:D41)</f>
        <v>14511294</v>
      </c>
      <c r="E42" s="582">
        <f>SUM(E34:E41)</f>
        <v>11152297</v>
      </c>
      <c r="F42" s="583">
        <f>E42/D42*100</f>
        <v>76.852532930557388</v>
      </c>
    </row>
  </sheetData>
  <mergeCells count="6">
    <mergeCell ref="A34:A42"/>
    <mergeCell ref="E4:F4"/>
    <mergeCell ref="A7:A15"/>
    <mergeCell ref="A1:F2"/>
    <mergeCell ref="A16:A24"/>
    <mergeCell ref="A25:A33"/>
  </mergeCell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&amp;R1.3)a.sz. melléklete
...../2020.(VI.25.) Egyek Önk.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Y37"/>
  <sheetViews>
    <sheetView topLeftCell="B2" zoomScale="110" zoomScaleNormal="110" workbookViewId="0">
      <selection activeCell="P15" sqref="P15"/>
    </sheetView>
  </sheetViews>
  <sheetFormatPr defaultRowHeight="12.75" x14ac:dyDescent="0.2"/>
  <cols>
    <col min="1" max="1" width="37" customWidth="1"/>
    <col min="2" max="3" width="17.5703125" bestFit="1" customWidth="1"/>
    <col min="4" max="4" width="15.85546875" bestFit="1" customWidth="1"/>
    <col min="5" max="5" width="8.7109375" customWidth="1"/>
    <col min="6" max="6" width="13.28515625" customWidth="1"/>
    <col min="7" max="8" width="14.7109375" customWidth="1"/>
    <col min="9" max="9" width="14.140625" customWidth="1"/>
    <col min="10" max="11" width="14.7109375" customWidth="1"/>
    <col min="12" max="12" width="13.28515625" customWidth="1"/>
    <col min="13" max="13" width="10.42578125" bestFit="1" customWidth="1"/>
    <col min="14" max="14" width="17.5703125" bestFit="1" customWidth="1"/>
    <col min="15" max="15" width="18.28515625" customWidth="1"/>
    <col min="16" max="16" width="20" customWidth="1"/>
    <col min="17" max="17" width="10.42578125" bestFit="1" customWidth="1"/>
  </cols>
  <sheetData>
    <row r="2" spans="1:25" ht="26.25" customHeight="1" x14ac:dyDescent="0.25">
      <c r="A2" s="1534" t="s">
        <v>603</v>
      </c>
      <c r="B2" s="1534"/>
      <c r="C2" s="1534"/>
      <c r="D2" s="1534"/>
      <c r="E2" s="1534"/>
      <c r="F2" s="1534"/>
      <c r="G2" s="1534"/>
      <c r="H2" s="1534"/>
      <c r="I2" s="1534"/>
      <c r="J2" s="1534"/>
      <c r="K2" s="1534"/>
      <c r="L2" s="1534"/>
      <c r="M2" s="1534"/>
      <c r="N2" s="1534"/>
      <c r="O2" s="1534"/>
      <c r="P2" s="71"/>
      <c r="Q2" s="71"/>
      <c r="R2" s="7"/>
      <c r="S2" s="7"/>
      <c r="T2" s="7"/>
      <c r="U2" s="7"/>
      <c r="V2" s="7"/>
      <c r="W2" s="7"/>
      <c r="X2" s="7"/>
      <c r="Y2" s="7"/>
    </row>
    <row r="3" spans="1:25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"/>
      <c r="S3" s="7"/>
      <c r="T3" s="7"/>
      <c r="U3" s="7"/>
      <c r="V3" s="7"/>
      <c r="W3" s="7"/>
      <c r="X3" s="7"/>
      <c r="Y3" s="7"/>
    </row>
    <row r="4" spans="1:25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540" t="s">
        <v>184</v>
      </c>
      <c r="P4" s="1540"/>
      <c r="Q4" s="1540"/>
      <c r="R4" s="7"/>
      <c r="S4" s="7"/>
      <c r="T4" s="7"/>
      <c r="U4" s="7"/>
      <c r="V4" s="7"/>
      <c r="W4" s="7"/>
      <c r="X4" s="7"/>
      <c r="Y4" s="7"/>
    </row>
    <row r="5" spans="1:25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11"/>
      <c r="P5" s="11"/>
      <c r="Q5" s="11"/>
      <c r="R5" s="7"/>
      <c r="S5" s="7"/>
      <c r="T5" s="7"/>
      <c r="U5" s="7"/>
      <c r="V5" s="7"/>
      <c r="W5" s="7"/>
      <c r="X5" s="7"/>
      <c r="Y5" s="7"/>
    </row>
    <row r="6" spans="1:25" ht="16.5" thickBot="1" x14ac:dyDescent="0.3">
      <c r="A6" s="10"/>
      <c r="B6" s="1541" t="s">
        <v>146</v>
      </c>
      <c r="C6" s="1542"/>
      <c r="D6" s="1542"/>
      <c r="E6" s="1543"/>
      <c r="F6" s="1541" t="s">
        <v>510</v>
      </c>
      <c r="G6" s="1542"/>
      <c r="H6" s="1542"/>
      <c r="I6" s="1542"/>
      <c r="J6" s="1541" t="s">
        <v>153</v>
      </c>
      <c r="K6" s="1542"/>
      <c r="L6" s="1542"/>
      <c r="M6" s="1543"/>
      <c r="N6" s="1544" t="s">
        <v>11</v>
      </c>
      <c r="O6" s="1545"/>
      <c r="P6" s="1545"/>
      <c r="Q6" s="1546"/>
      <c r="R6" s="7"/>
      <c r="S6" s="7"/>
      <c r="T6" s="7"/>
      <c r="U6" s="7"/>
      <c r="V6" s="7"/>
      <c r="W6" s="7"/>
      <c r="X6" s="7"/>
      <c r="Y6" s="7"/>
    </row>
    <row r="7" spans="1:25" ht="12.75" customHeight="1" x14ac:dyDescent="0.2">
      <c r="A7" s="1538" t="s">
        <v>87</v>
      </c>
      <c r="B7" s="1535" t="s">
        <v>154</v>
      </c>
      <c r="C7" s="1535" t="s">
        <v>148</v>
      </c>
      <c r="D7" s="1535" t="s">
        <v>149</v>
      </c>
      <c r="E7" s="1535" t="s">
        <v>150</v>
      </c>
      <c r="F7" s="1535" t="s">
        <v>154</v>
      </c>
      <c r="G7" s="1535" t="s">
        <v>148</v>
      </c>
      <c r="H7" s="1535" t="s">
        <v>149</v>
      </c>
      <c r="I7" s="1535" t="s">
        <v>150</v>
      </c>
      <c r="J7" s="1535" t="s">
        <v>154</v>
      </c>
      <c r="K7" s="1535" t="s">
        <v>148</v>
      </c>
      <c r="L7" s="1535" t="s">
        <v>149</v>
      </c>
      <c r="M7" s="1535" t="s">
        <v>150</v>
      </c>
      <c r="N7" s="1535" t="s">
        <v>154</v>
      </c>
      <c r="O7" s="1535" t="s">
        <v>148</v>
      </c>
      <c r="P7" s="1535" t="s">
        <v>149</v>
      </c>
      <c r="Q7" s="1535" t="s">
        <v>150</v>
      </c>
    </row>
    <row r="8" spans="1:25" ht="43.5" customHeight="1" thickBot="1" x14ac:dyDescent="0.25">
      <c r="A8" s="1539"/>
      <c r="B8" s="1536"/>
      <c r="C8" s="1536"/>
      <c r="D8" s="1536"/>
      <c r="E8" s="1536"/>
      <c r="F8" s="1536"/>
      <c r="G8" s="1536"/>
      <c r="H8" s="1536"/>
      <c r="I8" s="1536"/>
      <c r="J8" s="1537"/>
      <c r="K8" s="1537"/>
      <c r="L8" s="1537"/>
      <c r="M8" s="1536"/>
      <c r="N8" s="1536"/>
      <c r="O8" s="1536"/>
      <c r="P8" s="1536"/>
      <c r="Q8" s="1536"/>
    </row>
    <row r="9" spans="1:25" ht="13.5" thickBot="1" x14ac:dyDescent="0.25">
      <c r="A9" s="185" t="s">
        <v>88</v>
      </c>
      <c r="B9" s="186">
        <v>91005049</v>
      </c>
      <c r="C9" s="187">
        <v>434213112</v>
      </c>
      <c r="D9" s="188">
        <v>365595885</v>
      </c>
      <c r="E9" s="47">
        <f t="shared" ref="E9:E16" si="0">D9/C9*100</f>
        <v>84.197338794319961</v>
      </c>
      <c r="F9" s="51">
        <v>86161905</v>
      </c>
      <c r="G9" s="52">
        <v>103537054</v>
      </c>
      <c r="H9" s="52">
        <v>103344196</v>
      </c>
      <c r="I9" s="177">
        <f t="shared" ref="I9:I16" si="1">H9/G9*100</f>
        <v>99.813730454412962</v>
      </c>
      <c r="J9" s="196">
        <v>6730135</v>
      </c>
      <c r="K9" s="197">
        <v>7179483</v>
      </c>
      <c r="L9" s="198">
        <v>5444385</v>
      </c>
      <c r="M9" s="195">
        <f>L9/K9*100</f>
        <v>75.832549502519882</v>
      </c>
      <c r="N9" s="47">
        <f>B9+F9+J9</f>
        <v>183897089</v>
      </c>
      <c r="O9" s="47">
        <f>K9+G9+C9</f>
        <v>544929649</v>
      </c>
      <c r="P9" s="47">
        <f>L9+H9+D9</f>
        <v>474384466</v>
      </c>
      <c r="Q9" s="47">
        <f>P9/O9*100</f>
        <v>87.054258631466013</v>
      </c>
    </row>
    <row r="10" spans="1:25" ht="33" customHeight="1" thickBot="1" x14ac:dyDescent="0.25">
      <c r="A10" s="46" t="s">
        <v>89</v>
      </c>
      <c r="B10" s="189">
        <v>11979743</v>
      </c>
      <c r="C10" s="74">
        <v>45300901</v>
      </c>
      <c r="D10" s="190">
        <v>40180183</v>
      </c>
      <c r="E10" s="47">
        <f t="shared" si="0"/>
        <v>88.696211583076462</v>
      </c>
      <c r="F10" s="51">
        <v>17677234</v>
      </c>
      <c r="G10" s="52">
        <v>20166095</v>
      </c>
      <c r="H10" s="52">
        <v>19710139</v>
      </c>
      <c r="I10" s="177">
        <f t="shared" si="1"/>
        <v>97.738997064131652</v>
      </c>
      <c r="J10" s="199">
        <v>1301500</v>
      </c>
      <c r="K10" s="53">
        <v>1386156</v>
      </c>
      <c r="L10" s="200">
        <v>1007962</v>
      </c>
      <c r="M10" s="195">
        <f>L10/K10*100</f>
        <v>72.716346500682462</v>
      </c>
      <c r="N10" s="47">
        <f t="shared" ref="N10:N15" si="2">B10+F10+J10</f>
        <v>30958477</v>
      </c>
      <c r="O10" s="47">
        <f t="shared" ref="O10:P15" si="3">K10+G10+C10</f>
        <v>66853152</v>
      </c>
      <c r="P10" s="47">
        <f t="shared" si="3"/>
        <v>60898284</v>
      </c>
      <c r="Q10" s="47">
        <f t="shared" ref="Q10:Q22" si="4">P10/O10*100</f>
        <v>91.092614451447247</v>
      </c>
    </row>
    <row r="11" spans="1:25" ht="13.5" thickBot="1" x14ac:dyDescent="0.25">
      <c r="A11" s="19" t="s">
        <v>90</v>
      </c>
      <c r="B11" s="189">
        <v>167106883</v>
      </c>
      <c r="C11" s="74">
        <v>817070561</v>
      </c>
      <c r="D11" s="190">
        <v>401283243</v>
      </c>
      <c r="E11" s="47">
        <f t="shared" si="0"/>
        <v>49.112434366607907</v>
      </c>
      <c r="F11" s="51">
        <v>26098300</v>
      </c>
      <c r="G11" s="52">
        <v>25971587</v>
      </c>
      <c r="H11" s="52">
        <v>16535985</v>
      </c>
      <c r="I11" s="177">
        <f t="shared" si="1"/>
        <v>63.669520849842563</v>
      </c>
      <c r="J11" s="199">
        <v>5424200</v>
      </c>
      <c r="K11" s="53">
        <v>5473000</v>
      </c>
      <c r="L11" s="200">
        <v>4136621</v>
      </c>
      <c r="M11" s="195">
        <f>L11/K11*100</f>
        <v>75.582331445276822</v>
      </c>
      <c r="N11" s="47">
        <f t="shared" si="2"/>
        <v>198629383</v>
      </c>
      <c r="O11" s="47">
        <f t="shared" si="3"/>
        <v>848515148</v>
      </c>
      <c r="P11" s="47">
        <f t="shared" si="3"/>
        <v>421955849</v>
      </c>
      <c r="Q11" s="47">
        <f t="shared" si="4"/>
        <v>49.728734954770658</v>
      </c>
    </row>
    <row r="12" spans="1:25" ht="13.5" thickBot="1" x14ac:dyDescent="0.25">
      <c r="A12" s="20" t="s">
        <v>91</v>
      </c>
      <c r="B12" s="189">
        <v>34963165</v>
      </c>
      <c r="C12" s="73">
        <v>10215165</v>
      </c>
      <c r="D12" s="191">
        <v>9507143</v>
      </c>
      <c r="E12" s="47">
        <f t="shared" si="0"/>
        <v>93.068912739050219</v>
      </c>
      <c r="F12" s="51"/>
      <c r="G12" s="54"/>
      <c r="H12" s="54"/>
      <c r="I12" s="177"/>
      <c r="J12" s="199"/>
      <c r="K12" s="53"/>
      <c r="L12" s="200"/>
      <c r="M12" s="195"/>
      <c r="N12" s="47">
        <f t="shared" si="2"/>
        <v>34963165</v>
      </c>
      <c r="O12" s="47">
        <f t="shared" si="3"/>
        <v>10215165</v>
      </c>
      <c r="P12" s="47">
        <f t="shared" si="3"/>
        <v>9507143</v>
      </c>
      <c r="Q12" s="47">
        <f t="shared" si="4"/>
        <v>93.068912739050219</v>
      </c>
    </row>
    <row r="13" spans="1:25" ht="35.25" customHeight="1" thickBot="1" x14ac:dyDescent="0.25">
      <c r="A13" s="66" t="s">
        <v>97</v>
      </c>
      <c r="B13" s="189">
        <f>92608758-12668247</f>
        <v>79940511</v>
      </c>
      <c r="C13" s="73">
        <f>108489479-4278285</f>
        <v>104211194</v>
      </c>
      <c r="D13" s="191">
        <v>103463523</v>
      </c>
      <c r="E13" s="47">
        <f t="shared" si="0"/>
        <v>99.282542526093692</v>
      </c>
      <c r="F13" s="51">
        <v>5024165</v>
      </c>
      <c r="G13" s="54">
        <v>5024165</v>
      </c>
      <c r="H13" s="54">
        <v>5024165</v>
      </c>
      <c r="I13" s="177">
        <f t="shared" si="1"/>
        <v>100</v>
      </c>
      <c r="J13" s="199">
        <v>447255</v>
      </c>
      <c r="K13" s="53">
        <v>447255</v>
      </c>
      <c r="L13" s="200">
        <v>447255</v>
      </c>
      <c r="M13" s="195">
        <f>L13/K13*100</f>
        <v>100</v>
      </c>
      <c r="N13" s="47">
        <f t="shared" si="2"/>
        <v>85411931</v>
      </c>
      <c r="O13" s="47">
        <f t="shared" si="3"/>
        <v>109682614</v>
      </c>
      <c r="P13" s="47">
        <f t="shared" si="3"/>
        <v>108934943</v>
      </c>
      <c r="Q13" s="47">
        <f t="shared" si="4"/>
        <v>99.318332256377474</v>
      </c>
    </row>
    <row r="14" spans="1:25" ht="13.5" thickBot="1" x14ac:dyDescent="0.25">
      <c r="A14" s="518" t="s">
        <v>98</v>
      </c>
      <c r="B14" s="189">
        <f>168634213-10449365</f>
        <v>158184848</v>
      </c>
      <c r="C14" s="74">
        <f>234546980-10449365</f>
        <v>224097615</v>
      </c>
      <c r="D14" s="190">
        <f>219513435-10449365</f>
        <v>209064070</v>
      </c>
      <c r="E14" s="47">
        <f t="shared" si="0"/>
        <v>93.291519412199008</v>
      </c>
      <c r="F14" s="51"/>
      <c r="G14" s="52"/>
      <c r="H14" s="52"/>
      <c r="I14" s="177"/>
      <c r="J14" s="199"/>
      <c r="K14" s="53"/>
      <c r="L14" s="200"/>
      <c r="M14" s="195"/>
      <c r="N14" s="47">
        <f t="shared" si="2"/>
        <v>158184848</v>
      </c>
      <c r="O14" s="47">
        <f t="shared" si="3"/>
        <v>224097615</v>
      </c>
      <c r="P14" s="47">
        <f t="shared" si="3"/>
        <v>209064070</v>
      </c>
      <c r="Q14" s="47">
        <f t="shared" si="4"/>
        <v>93.291519412199008</v>
      </c>
    </row>
    <row r="15" spans="1:25" ht="31.5" customHeight="1" thickBot="1" x14ac:dyDescent="0.25">
      <c r="A15" s="519" t="s">
        <v>100</v>
      </c>
      <c r="B15" s="192">
        <v>148056242</v>
      </c>
      <c r="C15" s="193">
        <v>161152994</v>
      </c>
      <c r="D15" s="194">
        <v>146119449</v>
      </c>
      <c r="E15" s="47">
        <f t="shared" si="0"/>
        <v>90.671259263107444</v>
      </c>
      <c r="F15" s="55"/>
      <c r="G15" s="54"/>
      <c r="H15" s="54"/>
      <c r="I15" s="177"/>
      <c r="J15" s="201"/>
      <c r="K15" s="202"/>
      <c r="L15" s="203"/>
      <c r="M15" s="195"/>
      <c r="N15" s="47">
        <f t="shared" si="2"/>
        <v>148056242</v>
      </c>
      <c r="O15" s="47">
        <f t="shared" si="3"/>
        <v>161152994</v>
      </c>
      <c r="P15" s="47">
        <f t="shared" si="3"/>
        <v>146119449</v>
      </c>
      <c r="Q15" s="47">
        <f t="shared" si="4"/>
        <v>90.671259263107444</v>
      </c>
    </row>
    <row r="16" spans="1:25" ht="21" customHeight="1" thickBot="1" x14ac:dyDescent="0.25">
      <c r="A16" s="5" t="s">
        <v>18</v>
      </c>
      <c r="B16" s="47">
        <f>B9+B10+B11+B12+B13+B14</f>
        <v>543180199</v>
      </c>
      <c r="C16" s="47">
        <f t="shared" ref="C16:D16" si="5">C9+C10+C11+C12+C13+C14</f>
        <v>1635108548</v>
      </c>
      <c r="D16" s="47">
        <f t="shared" si="5"/>
        <v>1129094047</v>
      </c>
      <c r="E16" s="47">
        <f t="shared" si="0"/>
        <v>69.053155423905224</v>
      </c>
      <c r="F16" s="47">
        <f>SUM(F9:F14)</f>
        <v>134961604</v>
      </c>
      <c r="G16" s="47">
        <f>SUM(G9:G14)</f>
        <v>154698901</v>
      </c>
      <c r="H16" s="47">
        <f>SUM(H9:H14)</f>
        <v>144614485</v>
      </c>
      <c r="I16" s="47">
        <f t="shared" si="1"/>
        <v>93.481262029133617</v>
      </c>
      <c r="J16" s="174">
        <f>SUM(J9:J14)</f>
        <v>13903090</v>
      </c>
      <c r="K16" s="174">
        <f>SUM(K9:K14)</f>
        <v>14485894</v>
      </c>
      <c r="L16" s="174">
        <f>SUM(L9:L14)</f>
        <v>11036223</v>
      </c>
      <c r="M16" s="47">
        <f>L16/K16*100</f>
        <v>76.185998599741239</v>
      </c>
      <c r="N16" s="47">
        <f>SUM(N9:N14)</f>
        <v>692044893</v>
      </c>
      <c r="O16" s="47">
        <f>SUM(O9:O14)</f>
        <v>1804293343</v>
      </c>
      <c r="P16" s="47">
        <f>SUM(P9:P14)</f>
        <v>1284744755</v>
      </c>
      <c r="Q16" s="47">
        <f t="shared" si="4"/>
        <v>71.20487142428037</v>
      </c>
    </row>
    <row r="17" spans="1:18" ht="21" customHeight="1" thickBot="1" x14ac:dyDescent="0.25">
      <c r="A17" s="8"/>
      <c r="B17" s="56"/>
      <c r="C17" s="57"/>
      <c r="D17" s="57"/>
      <c r="E17" s="57"/>
      <c r="F17" s="56"/>
      <c r="G17" s="57"/>
      <c r="H17" s="57"/>
      <c r="I17" s="57"/>
      <c r="J17" s="56"/>
      <c r="K17" s="56"/>
      <c r="L17" s="56"/>
      <c r="M17" s="56"/>
      <c r="N17" s="58"/>
      <c r="O17" s="58"/>
      <c r="P17" s="58"/>
      <c r="Q17" s="58"/>
    </row>
    <row r="18" spans="1:18" s="87" customFormat="1" ht="13.5" thickBot="1" x14ac:dyDescent="0.25">
      <c r="A18" s="86" t="s">
        <v>92</v>
      </c>
      <c r="B18" s="80">
        <v>2520052989</v>
      </c>
      <c r="C18" s="80">
        <v>1705637994</v>
      </c>
      <c r="D18" s="80">
        <v>842300249</v>
      </c>
      <c r="E18" s="47">
        <f>D18/C18*100</f>
        <v>49.383295398144142</v>
      </c>
      <c r="F18" s="80">
        <v>2012000</v>
      </c>
      <c r="G18" s="80">
        <v>2012000</v>
      </c>
      <c r="H18" s="80">
        <v>1092950</v>
      </c>
      <c r="I18" s="47">
        <f>H18/G18*100</f>
        <v>54.321570576540758</v>
      </c>
      <c r="J18" s="80">
        <v>25400</v>
      </c>
      <c r="K18" s="80">
        <v>25400</v>
      </c>
      <c r="L18" s="176">
        <v>24960</v>
      </c>
      <c r="M18" s="47">
        <f>L18/K18*100</f>
        <v>98.267716535433067</v>
      </c>
      <c r="N18" s="179">
        <f>B18+F18+J18</f>
        <v>2522090389</v>
      </c>
      <c r="O18" s="179">
        <f t="shared" ref="O18:P22" si="6">K18+G18+C18</f>
        <v>1707675394</v>
      </c>
      <c r="P18" s="179">
        <f t="shared" si="6"/>
        <v>843418159</v>
      </c>
      <c r="Q18" s="180">
        <f t="shared" si="4"/>
        <v>49.389840830604605</v>
      </c>
    </row>
    <row r="19" spans="1:18" s="87" customFormat="1" ht="13.5" thickBot="1" x14ac:dyDescent="0.25">
      <c r="A19" s="86" t="s">
        <v>93</v>
      </c>
      <c r="B19" s="80">
        <v>13426123</v>
      </c>
      <c r="C19" s="80">
        <v>45391427</v>
      </c>
      <c r="D19" s="80">
        <v>39441130</v>
      </c>
      <c r="E19" s="47">
        <f>D19/C19*100</f>
        <v>86.891143563298854</v>
      </c>
      <c r="F19" s="80"/>
      <c r="G19" s="80"/>
      <c r="H19" s="80"/>
      <c r="I19" s="47"/>
      <c r="J19" s="80"/>
      <c r="K19" s="80"/>
      <c r="L19" s="176"/>
      <c r="M19" s="47"/>
      <c r="N19" s="178">
        <f>B19+F19+J19</f>
        <v>13426123</v>
      </c>
      <c r="O19" s="178">
        <f t="shared" si="6"/>
        <v>45391427</v>
      </c>
      <c r="P19" s="178">
        <f t="shared" si="6"/>
        <v>39441130</v>
      </c>
      <c r="Q19" s="181">
        <f t="shared" si="4"/>
        <v>86.891143563298854</v>
      </c>
    </row>
    <row r="20" spans="1:18" s="87" customFormat="1" ht="13.5" thickBot="1" x14ac:dyDescent="0.25">
      <c r="A20" s="86" t="s">
        <v>94</v>
      </c>
      <c r="B20" s="80"/>
      <c r="C20" s="80">
        <v>1207165</v>
      </c>
      <c r="D20" s="80">
        <v>1207165</v>
      </c>
      <c r="E20" s="47">
        <f>D20/C20*100</f>
        <v>100</v>
      </c>
      <c r="F20" s="80">
        <v>0</v>
      </c>
      <c r="G20" s="80"/>
      <c r="H20" s="80"/>
      <c r="I20" s="47"/>
      <c r="J20" s="80"/>
      <c r="K20" s="80"/>
      <c r="L20" s="176"/>
      <c r="M20" s="47"/>
      <c r="N20" s="178">
        <f>B20+F20+J20</f>
        <v>0</v>
      </c>
      <c r="O20" s="178">
        <f t="shared" si="6"/>
        <v>1207165</v>
      </c>
      <c r="P20" s="178">
        <f t="shared" si="6"/>
        <v>1207165</v>
      </c>
      <c r="Q20" s="181">
        <f t="shared" si="4"/>
        <v>100</v>
      </c>
    </row>
    <row r="21" spans="1:18" s="87" customFormat="1" ht="26.25" thickBot="1" x14ac:dyDescent="0.25">
      <c r="A21" s="517" t="s">
        <v>99</v>
      </c>
      <c r="B21" s="80">
        <v>10449365</v>
      </c>
      <c r="C21" s="80">
        <v>10449365</v>
      </c>
      <c r="D21" s="80">
        <v>10449365</v>
      </c>
      <c r="E21" s="47">
        <f>D21/C21*100</f>
        <v>100</v>
      </c>
      <c r="F21" s="80"/>
      <c r="G21" s="80"/>
      <c r="H21" s="80"/>
      <c r="I21" s="47"/>
      <c r="J21" s="80"/>
      <c r="K21" s="80"/>
      <c r="L21" s="176"/>
      <c r="M21" s="47"/>
      <c r="N21" s="178">
        <f>B21+F21+J21</f>
        <v>10449365</v>
      </c>
      <c r="O21" s="178">
        <f t="shared" si="6"/>
        <v>10449365</v>
      </c>
      <c r="P21" s="178">
        <f t="shared" si="6"/>
        <v>10449365</v>
      </c>
      <c r="Q21" s="181">
        <f t="shared" si="4"/>
        <v>100</v>
      </c>
    </row>
    <row r="22" spans="1:18" ht="13.5" thickBot="1" x14ac:dyDescent="0.25">
      <c r="A22" s="5" t="s">
        <v>95</v>
      </c>
      <c r="B22" s="47">
        <f t="shared" ref="B22:L22" si="7">SUM(B18:B21)</f>
        <v>2543928477</v>
      </c>
      <c r="C22" s="47">
        <f>SUM(C18:C21)</f>
        <v>1762685951</v>
      </c>
      <c r="D22" s="47">
        <f>SUM(D18:D21)</f>
        <v>893397909</v>
      </c>
      <c r="E22" s="47">
        <f>D22/C22*100</f>
        <v>50.683895704346028</v>
      </c>
      <c r="F22" s="47">
        <f t="shared" si="7"/>
        <v>2012000</v>
      </c>
      <c r="G22" s="47">
        <f t="shared" si="7"/>
        <v>2012000</v>
      </c>
      <c r="H22" s="47">
        <f t="shared" si="7"/>
        <v>1092950</v>
      </c>
      <c r="I22" s="47">
        <f>H22/G22*100</f>
        <v>54.321570576540758</v>
      </c>
      <c r="J22" s="47">
        <f t="shared" si="7"/>
        <v>25400</v>
      </c>
      <c r="K22" s="47">
        <f t="shared" si="7"/>
        <v>25400</v>
      </c>
      <c r="L22" s="177">
        <f t="shared" si="7"/>
        <v>24960</v>
      </c>
      <c r="M22" s="47">
        <f>L22/K22*100</f>
        <v>98.267716535433067</v>
      </c>
      <c r="N22" s="182">
        <f>B22+F22+J22</f>
        <v>2545965877</v>
      </c>
      <c r="O22" s="183">
        <f t="shared" si="6"/>
        <v>1764723351</v>
      </c>
      <c r="P22" s="183">
        <f t="shared" si="6"/>
        <v>894515819</v>
      </c>
      <c r="Q22" s="184">
        <f t="shared" si="4"/>
        <v>50.688727980683922</v>
      </c>
    </row>
    <row r="23" spans="1:18" ht="21" customHeight="1" thickBot="1" x14ac:dyDescent="0.25">
      <c r="A23" s="8"/>
      <c r="B23" s="56"/>
      <c r="C23" s="57"/>
      <c r="D23" s="57"/>
      <c r="E23" s="57"/>
      <c r="F23" s="56"/>
      <c r="G23" s="57"/>
      <c r="H23" s="57"/>
      <c r="I23" s="57"/>
      <c r="J23" s="56"/>
      <c r="K23" s="56"/>
      <c r="L23" s="56"/>
      <c r="M23" s="56"/>
      <c r="N23" s="58"/>
      <c r="O23" s="175"/>
      <c r="P23" s="175"/>
      <c r="Q23" s="175"/>
      <c r="R23" s="1"/>
    </row>
    <row r="24" spans="1:18" ht="13.5" thickBot="1" x14ac:dyDescent="0.25">
      <c r="A24" s="5" t="s">
        <v>96</v>
      </c>
      <c r="B24" s="59">
        <v>12668247</v>
      </c>
      <c r="C24" s="59">
        <v>4278285</v>
      </c>
      <c r="D24" s="59"/>
      <c r="E24" s="47"/>
      <c r="F24" s="33"/>
      <c r="G24" s="59"/>
      <c r="H24" s="59"/>
      <c r="I24" s="59"/>
      <c r="J24" s="33"/>
      <c r="K24" s="33"/>
      <c r="L24" s="33"/>
      <c r="M24" s="47"/>
      <c r="N24" s="47">
        <f>B24+F24+J24</f>
        <v>12668247</v>
      </c>
      <c r="O24" s="88">
        <f>K24+G24+C24</f>
        <v>4278285</v>
      </c>
      <c r="P24" s="88">
        <f>L24+H24+D24</f>
        <v>0</v>
      </c>
      <c r="Q24" s="47"/>
    </row>
    <row r="25" spans="1:18" ht="21" customHeight="1" thickBot="1" x14ac:dyDescent="0.25">
      <c r="A25" s="8"/>
      <c r="B25" s="60"/>
      <c r="C25" s="60"/>
      <c r="D25" s="60"/>
      <c r="E25" s="60"/>
      <c r="F25" s="56"/>
      <c r="G25" s="57"/>
      <c r="H25" s="57"/>
      <c r="I25" s="57"/>
      <c r="J25" s="56"/>
      <c r="K25" s="56"/>
      <c r="L25" s="56"/>
      <c r="M25" s="56"/>
      <c r="N25" s="58"/>
      <c r="O25" s="175"/>
      <c r="P25" s="175"/>
      <c r="Q25" s="175"/>
    </row>
    <row r="26" spans="1:18" ht="13.5" thickBot="1" x14ac:dyDescent="0.25">
      <c r="A26" s="5" t="s">
        <v>19</v>
      </c>
      <c r="B26" s="47">
        <f>B16+B22+B24</f>
        <v>3099776923</v>
      </c>
      <c r="C26" s="47">
        <f>C16+C22+C24</f>
        <v>3402072784</v>
      </c>
      <c r="D26" s="47">
        <f>D16+D22+D24</f>
        <v>2022491956</v>
      </c>
      <c r="E26" s="47">
        <f>D26/C26*100</f>
        <v>59.448815013947097</v>
      </c>
      <c r="F26" s="47">
        <f t="shared" ref="F26:N26" si="8">F16+F22+F24</f>
        <v>136973604</v>
      </c>
      <c r="G26" s="47">
        <f t="shared" si="8"/>
        <v>156710901</v>
      </c>
      <c r="H26" s="47">
        <f t="shared" si="8"/>
        <v>145707435</v>
      </c>
      <c r="I26" s="47">
        <f>H26/G26*100</f>
        <v>92.978493563762996</v>
      </c>
      <c r="J26" s="47">
        <f t="shared" si="8"/>
        <v>13928490</v>
      </c>
      <c r="K26" s="47">
        <f t="shared" si="8"/>
        <v>14511294</v>
      </c>
      <c r="L26" s="47">
        <f t="shared" si="8"/>
        <v>11061183</v>
      </c>
      <c r="M26" s="47">
        <f>L26/K26*100</f>
        <v>76.224649572946419</v>
      </c>
      <c r="N26" s="47">
        <f t="shared" si="8"/>
        <v>3250679017</v>
      </c>
      <c r="O26" s="88">
        <f>K26+G26+C26</f>
        <v>3573294979</v>
      </c>
      <c r="P26" s="88">
        <f>L26+H26+D26</f>
        <v>2179260574</v>
      </c>
      <c r="Q26" s="47">
        <f>P26/O26*100</f>
        <v>60.987424402613257</v>
      </c>
    </row>
    <row r="27" spans="1:18" ht="21" customHeight="1" x14ac:dyDescent="0.2">
      <c r="A27" s="228"/>
      <c r="B27" s="229"/>
      <c r="C27" s="229"/>
      <c r="D27" s="229"/>
      <c r="E27" s="61"/>
      <c r="F27" s="61"/>
      <c r="G27" s="62"/>
      <c r="H27" s="62"/>
      <c r="I27" s="62"/>
      <c r="J27" s="61"/>
      <c r="K27" s="61"/>
      <c r="L27" s="61"/>
      <c r="M27" s="61"/>
      <c r="N27" s="56"/>
      <c r="O27" s="175"/>
      <c r="P27" s="175"/>
      <c r="Q27" s="175"/>
      <c r="R27" s="1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8" ht="16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</sheetData>
  <mergeCells count="23">
    <mergeCell ref="B7:B8"/>
    <mergeCell ref="M7:M8"/>
    <mergeCell ref="H7:H8"/>
    <mergeCell ref="O7:O8"/>
    <mergeCell ref="G7:G8"/>
    <mergeCell ref="I7:I8"/>
    <mergeCell ref="F7:F8"/>
    <mergeCell ref="A2:O2"/>
    <mergeCell ref="C7:C8"/>
    <mergeCell ref="J7:J8"/>
    <mergeCell ref="K7:K8"/>
    <mergeCell ref="N7:N8"/>
    <mergeCell ref="A7:A8"/>
    <mergeCell ref="O4:Q4"/>
    <mergeCell ref="D7:D8"/>
    <mergeCell ref="E7:E8"/>
    <mergeCell ref="B6:E6"/>
    <mergeCell ref="P7:P8"/>
    <mergeCell ref="Q7:Q8"/>
    <mergeCell ref="L7:L8"/>
    <mergeCell ref="F6:I6"/>
    <mergeCell ref="J6:M6"/>
    <mergeCell ref="N6:Q6"/>
  </mergeCells>
  <phoneticPr fontId="6" type="noConversion"/>
  <pageMargins left="0.19685039370078741" right="0.19685039370078741" top="0.39370078740157483" bottom="0.39370078740157483" header="0.51181102362204722" footer="0.51181102362204722"/>
  <pageSetup paperSize="9" scale="53" orientation="landscape" r:id="rId1"/>
  <headerFooter alignWithMargins="0">
    <oddHeader>&amp;R2.sz. melléklet
..../2019.(VI.25.) Egyek Önk.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20</vt:i4>
      </vt:variant>
    </vt:vector>
  </HeadingPairs>
  <TitlesOfParts>
    <vt:vector size="55" baseType="lpstr">
      <vt:lpstr>bevétel 1.m. </vt:lpstr>
      <vt:lpstr>Bevétel Önkormányzat 1.1 </vt:lpstr>
      <vt:lpstr>Bev.Önk.köt.ell.fel.1.1)a</vt:lpstr>
      <vt:lpstr>Bev. Önkorm.Önk.v.fel.1.1)b </vt:lpstr>
      <vt:lpstr>Bevétel Polg.Hivatal 1.2 </vt:lpstr>
      <vt:lpstr>Bev. Polg.Hiv. köt.fel.1.2)a</vt:lpstr>
      <vt:lpstr>Bevétel Könyvtár-Műv.h. 1.3</vt:lpstr>
      <vt:lpstr>Bev.Könyv.-Műv.h. köt.ell 1.3a </vt:lpstr>
      <vt:lpstr>Kiadások2</vt:lpstr>
      <vt:lpstr>önkormányzat kiadásai 2.1. </vt:lpstr>
      <vt:lpstr>önk.kiad.köt.fel.2.1)a</vt:lpstr>
      <vt:lpstr>önk.kiad.önk.váll.fel.2.1)b</vt:lpstr>
      <vt:lpstr>Polg.Hivatal kiadásai 2.2</vt:lpstr>
      <vt:lpstr>Polg.Hiv.kiad.köt.fel.2.2)a</vt:lpstr>
      <vt:lpstr>Könyvtár és Műv.H. kiadásai 2.3</vt:lpstr>
      <vt:lpstr>Könyvtár és Műv.H.köt.fel.2.3)a</vt:lpstr>
      <vt:lpstr>Működési kiadások3</vt:lpstr>
      <vt:lpstr>Felhalmozás 4.mell. </vt:lpstr>
      <vt:lpstr>Mérleg 5.mell.</vt:lpstr>
      <vt:lpstr>Működési és felh. mérl.6</vt:lpstr>
      <vt:lpstr>Maradvány Önk_7_1_m_</vt:lpstr>
      <vt:lpstr>Maradvány Polg_Hiv_7_2_m_ </vt:lpstr>
      <vt:lpstr>Maradvány Tárkányi B_ 7_3_m</vt:lpstr>
      <vt:lpstr>Támogatás elsz.8.m.</vt:lpstr>
      <vt:lpstr>Többéves kih. 9. m.</vt:lpstr>
      <vt:lpstr>Vagyonkim. Önkorm. 10.m. </vt:lpstr>
      <vt:lpstr>Adósságállomány Önk. 11.1.m.</vt:lpstr>
      <vt:lpstr>Adósságállomány Polg.H 11.2.m. </vt:lpstr>
      <vt:lpstr>Adósságállomány Tárk. B.11.3.m.</vt:lpstr>
      <vt:lpstr>Közvetett tám.12.m.</vt:lpstr>
      <vt:lpstr>Pénzeszk_vál_ Önk_ 13._1_m_ </vt:lpstr>
      <vt:lpstr>Pénzeszk_vál_ Polg_ Hiv_13_2_m </vt:lpstr>
      <vt:lpstr>Pénzeszk_vál_ Tárkányi B_13_3_m</vt:lpstr>
      <vt:lpstr>részesedések 14.m.  </vt:lpstr>
      <vt:lpstr>Adósságot kel.15.mell.</vt:lpstr>
      <vt:lpstr>'Bev. Önkorm.Önk.v.fel.1.1)b '!Nyomtatási_terület</vt:lpstr>
      <vt:lpstr>'Bev. Polg.Hiv. köt.fel.1.2)a'!Nyomtatási_terület</vt:lpstr>
      <vt:lpstr>'Bev.Önk.köt.ell.fel.1.1)a'!Nyomtatási_terület</vt:lpstr>
      <vt:lpstr>'bevétel 1.m. '!Nyomtatási_terület</vt:lpstr>
      <vt:lpstr>'Bevétel Önkormányzat 1.1 '!Nyomtatási_terület</vt:lpstr>
      <vt:lpstr>'Bevétel Polg.Hivatal 1.2 '!Nyomtatási_terület</vt:lpstr>
      <vt:lpstr>Kiadások2!Nyomtatási_terület</vt:lpstr>
      <vt:lpstr>'Közvetett tám.12.m.'!Nyomtatási_terület</vt:lpstr>
      <vt:lpstr>'Maradvány Önk_7_1_m_'!Nyomtatási_terület</vt:lpstr>
      <vt:lpstr>'Maradvány Polg_Hiv_7_2_m_ '!Nyomtatási_terület</vt:lpstr>
      <vt:lpstr>'Maradvány Tárkányi B_ 7_3_m'!Nyomtatási_terület</vt:lpstr>
      <vt:lpstr>'Mérleg 5.mell.'!Nyomtatási_terület</vt:lpstr>
      <vt:lpstr>'Működési kiadások3'!Nyomtatási_terület</vt:lpstr>
      <vt:lpstr>'önk.kiad.köt.fel.2.1)a'!Nyomtatási_terület</vt:lpstr>
      <vt:lpstr>'önk.kiad.önk.váll.fel.2.1)b'!Nyomtatási_terület</vt:lpstr>
      <vt:lpstr>'önkormányzat kiadásai 2.1. '!Nyomtatási_terület</vt:lpstr>
      <vt:lpstr>'Polg.Hiv.kiad.köt.fel.2.2)a'!Nyomtatási_terület</vt:lpstr>
      <vt:lpstr>'Polg.Hivatal kiadásai 2.2'!Nyomtatási_terület</vt:lpstr>
      <vt:lpstr>'Támogatás elsz.8.m.'!Nyomtatási_terület</vt:lpstr>
      <vt:lpstr>'Vagyonkim. Önkorm. 10.m. 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Fekete Lászlóné</cp:lastModifiedBy>
  <cp:lastPrinted>2020-06-29T07:01:06Z</cp:lastPrinted>
  <dcterms:created xsi:type="dcterms:W3CDTF">1999-11-19T07:39:00Z</dcterms:created>
  <dcterms:modified xsi:type="dcterms:W3CDTF">2020-06-29T07:01:18Z</dcterms:modified>
</cp:coreProperties>
</file>